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showInkAnnotation="0" autoCompressPictures="0"/>
  <mc:AlternateContent xmlns:mc="http://schemas.openxmlformats.org/markup-compatibility/2006">
    <mc:Choice Requires="x15">
      <x15ac:absPath xmlns:x15ac="http://schemas.microsoft.com/office/spreadsheetml/2010/11/ac" url="https://undp-my.sharepoint.com/personal/sylvain_thiombiano_undp_org/Documents/Documents/Energie Environnement/Elect rural/FEM 7/PRODOC/Version octobre 2021/"/>
    </mc:Choice>
  </mc:AlternateContent>
  <xr:revisionPtr revIDLastSave="20" documentId="13_ncr:1_{1F4DB804-C791-457B-9CA0-53BA682AA13D}" xr6:coauthVersionLast="47" xr6:coauthVersionMax="47" xr10:uidLastSave="{D2F24D5D-2DA7-4E8E-A50B-54E8989D74EF}"/>
  <bookViews>
    <workbookView xWindow="-108" yWindow="-108" windowWidth="23256" windowHeight="12576" tabRatio="500" activeTab="1" xr2:uid="{00000000-000D-0000-FFFF-FFFF00000000}"/>
  </bookViews>
  <sheets>
    <sheet name="Breakdown" sheetId="4" r:id="rId1"/>
    <sheet name="Budget_UNDP" sheetId="13" r:id="rId2"/>
    <sheet name="Budget_Notes" sheetId="17" r:id="rId3"/>
    <sheet name="M&amp;E" sheetId="14" r:id="rId4"/>
    <sheet name="Co-financing_Details" sheetId="16" r:id="rId5"/>
    <sheet name="Co-financing_Summary" sheetId="18" r:id="rId6"/>
    <sheet name="Constraints" sheetId="12" r:id="rId7"/>
  </sheets>
  <definedNames>
    <definedName name="_xlnm._FilterDatabase" localSheetId="0" hidden="1">Breakdown!$F$1:$F$1478</definedName>
    <definedName name="_ftn1" localSheetId="0">Breakdown!#REF!</definedName>
    <definedName name="_ftnref1" localSheetId="1">Budget_UNDP!#REF!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L34" i="4" l="1"/>
  <c r="M34" i="4"/>
  <c r="M88" i="4"/>
  <c r="L88" i="4"/>
  <c r="N54" i="4"/>
  <c r="M54" i="4"/>
  <c r="L54" i="4"/>
  <c r="M45" i="4"/>
  <c r="M44" i="4"/>
  <c r="L44" i="4"/>
  <c r="M43" i="4"/>
  <c r="L43" i="4"/>
  <c r="M41" i="4"/>
  <c r="L41" i="4"/>
  <c r="M40" i="4"/>
  <c r="L40" i="4"/>
  <c r="M39" i="4"/>
  <c r="L39" i="4"/>
  <c r="L33" i="4"/>
  <c r="N13" i="4"/>
  <c r="M13" i="4"/>
  <c r="L13" i="4"/>
  <c r="N12" i="4"/>
  <c r="M12" i="4"/>
  <c r="L12" i="4"/>
  <c r="N11" i="4"/>
  <c r="M11" i="4"/>
  <c r="L11" i="4"/>
  <c r="B46" i="17" l="1"/>
  <c r="A46" i="17"/>
  <c r="B45" i="17"/>
  <c r="A45" i="17"/>
  <c r="B44" i="17"/>
  <c r="A44" i="17"/>
  <c r="B43" i="17"/>
  <c r="A43" i="17"/>
  <c r="B42" i="17"/>
  <c r="A42" i="17"/>
  <c r="B41" i="17"/>
  <c r="A41" i="17"/>
  <c r="B40" i="17"/>
  <c r="A40" i="17"/>
  <c r="B39" i="17"/>
  <c r="A39" i="17"/>
  <c r="B38" i="17"/>
  <c r="A38" i="17"/>
  <c r="B37" i="17"/>
  <c r="A37" i="17"/>
  <c r="B36" i="17"/>
  <c r="A36" i="17"/>
  <c r="B35" i="17"/>
  <c r="A35" i="17"/>
  <c r="B34" i="17"/>
  <c r="A34" i="17"/>
  <c r="B33" i="17"/>
  <c r="A33" i="17"/>
  <c r="B32" i="17"/>
  <c r="A32" i="17"/>
  <c r="B31" i="17"/>
  <c r="A31" i="17"/>
  <c r="B30" i="17"/>
  <c r="A30" i="17"/>
  <c r="B29" i="17"/>
  <c r="A29" i="17"/>
  <c r="B28" i="17"/>
  <c r="A28" i="17"/>
  <c r="B27" i="17"/>
  <c r="A27" i="17"/>
  <c r="B26" i="17"/>
  <c r="A26" i="17"/>
  <c r="B25" i="17"/>
  <c r="A25" i="17"/>
  <c r="B24" i="17"/>
  <c r="A24" i="17"/>
  <c r="B23" i="17"/>
  <c r="A23" i="17"/>
  <c r="B22" i="17"/>
  <c r="A22" i="17"/>
  <c r="B21" i="17"/>
  <c r="A21" i="17"/>
  <c r="B20" i="17"/>
  <c r="A20" i="17"/>
  <c r="B19" i="17"/>
  <c r="A19" i="17"/>
  <c r="B18" i="17"/>
  <c r="A18" i="17"/>
  <c r="B17" i="17"/>
  <c r="A17" i="17"/>
  <c r="B16" i="17"/>
  <c r="A16" i="17"/>
  <c r="B15" i="17"/>
  <c r="A15" i="17"/>
  <c r="B14" i="17"/>
  <c r="A14" i="17"/>
  <c r="B13" i="17"/>
  <c r="A13" i="17"/>
  <c r="B12" i="17"/>
  <c r="A12" i="17"/>
  <c r="B11" i="17"/>
  <c r="A11" i="17"/>
  <c r="B10" i="17"/>
  <c r="A10" i="17"/>
  <c r="B9" i="17"/>
  <c r="A9" i="17"/>
  <c r="B8" i="17"/>
  <c r="A8" i="17"/>
  <c r="B7" i="17"/>
  <c r="A7" i="17"/>
  <c r="B6" i="17"/>
  <c r="A6" i="17"/>
  <c r="B5" i="17"/>
  <c r="A5" i="17"/>
  <c r="B4" i="17"/>
  <c r="A4" i="17"/>
  <c r="B3" i="17"/>
  <c r="A3" i="17"/>
  <c r="B2" i="17"/>
  <c r="A2" i="17"/>
  <c r="O35" i="4" l="1"/>
  <c r="N35" i="4"/>
  <c r="M19" i="4"/>
  <c r="L19" i="4"/>
  <c r="L9" i="4"/>
  <c r="M35" i="4"/>
  <c r="J99" i="4"/>
  <c r="K34" i="4"/>
  <c r="J34" i="4" s="1"/>
  <c r="O34" i="4"/>
  <c r="O99" i="4" l="1"/>
  <c r="N99" i="4"/>
  <c r="M99" i="4"/>
  <c r="L99" i="4"/>
  <c r="F34" i="16" l="1"/>
  <c r="D34" i="16"/>
  <c r="C34" i="16"/>
  <c r="B34" i="16"/>
  <c r="G32" i="16"/>
  <c r="E31" i="16"/>
  <c r="G31" i="16" s="1"/>
  <c r="E30" i="16"/>
  <c r="G30" i="16" s="1"/>
  <c r="H29" i="16"/>
  <c r="E29" i="16"/>
  <c r="G29" i="16" s="1"/>
  <c r="H28" i="16"/>
  <c r="E28" i="16"/>
  <c r="I27" i="16"/>
  <c r="G27" i="16"/>
  <c r="G26" i="16"/>
  <c r="G25" i="16"/>
  <c r="AK6" i="16"/>
  <c r="E34" i="16" l="1"/>
  <c r="H34" i="16"/>
  <c r="H37" i="16" s="1"/>
  <c r="G28" i="16"/>
  <c r="G34" i="16" s="1"/>
  <c r="K28" i="16"/>
  <c r="I29" i="16"/>
  <c r="D12" i="14" l="1"/>
  <c r="C12" i="14"/>
  <c r="B12" i="14" s="1"/>
  <c r="D6" i="14"/>
  <c r="P51" i="13"/>
  <c r="O51" i="13"/>
  <c r="N51" i="13"/>
  <c r="M51" i="13"/>
  <c r="P50" i="13"/>
  <c r="O50" i="13"/>
  <c r="N50" i="13"/>
  <c r="M50" i="13"/>
  <c r="P49" i="13"/>
  <c r="O49" i="13"/>
  <c r="N49" i="13"/>
  <c r="M49" i="13"/>
  <c r="P48" i="13"/>
  <c r="O48" i="13"/>
  <c r="N48" i="13"/>
  <c r="M48" i="13"/>
  <c r="P47" i="13"/>
  <c r="O47" i="13"/>
  <c r="N47" i="13"/>
  <c r="M47" i="13"/>
  <c r="P46" i="13"/>
  <c r="O46" i="13"/>
  <c r="N46" i="13"/>
  <c r="P44" i="13"/>
  <c r="O44" i="13"/>
  <c r="N44" i="13"/>
  <c r="M44" i="13"/>
  <c r="P43" i="13"/>
  <c r="O43" i="13"/>
  <c r="N43" i="13"/>
  <c r="M43" i="13"/>
  <c r="P42" i="13"/>
  <c r="O42" i="13"/>
  <c r="N42" i="13"/>
  <c r="M42" i="13"/>
  <c r="P40" i="13"/>
  <c r="O40" i="13"/>
  <c r="N40" i="13"/>
  <c r="M40" i="13"/>
  <c r="P39" i="13"/>
  <c r="O39" i="13"/>
  <c r="N39" i="13"/>
  <c r="P60" i="13"/>
  <c r="O60" i="13"/>
  <c r="N60" i="13"/>
  <c r="M60" i="13"/>
  <c r="P59" i="13"/>
  <c r="O59" i="13"/>
  <c r="N59" i="13"/>
  <c r="M59" i="13"/>
  <c r="P56" i="13"/>
  <c r="O56" i="13"/>
  <c r="N56" i="13"/>
  <c r="M56" i="13"/>
  <c r="P55" i="13"/>
  <c r="O55" i="13"/>
  <c r="N55" i="13"/>
  <c r="M55" i="13"/>
  <c r="M46" i="13"/>
  <c r="P36" i="13"/>
  <c r="P37" i="13" s="1"/>
  <c r="V5" i="16" s="1"/>
  <c r="O36" i="13"/>
  <c r="O37" i="13" s="1"/>
  <c r="P5" i="16" s="1"/>
  <c r="N36" i="13"/>
  <c r="N37" i="13" s="1"/>
  <c r="J5" i="16" s="1"/>
  <c r="M36" i="13"/>
  <c r="M37" i="13" s="1"/>
  <c r="D5" i="16" s="1"/>
  <c r="P34" i="13"/>
  <c r="O34" i="13"/>
  <c r="N34" i="13"/>
  <c r="M34" i="13"/>
  <c r="P33" i="13"/>
  <c r="O33" i="13"/>
  <c r="N33" i="13"/>
  <c r="M33" i="13"/>
  <c r="P32" i="13"/>
  <c r="O32" i="13"/>
  <c r="N32" i="13"/>
  <c r="M32" i="13"/>
  <c r="M31" i="13"/>
  <c r="P28" i="13"/>
  <c r="O28" i="13"/>
  <c r="N28" i="13"/>
  <c r="M28" i="13"/>
  <c r="P27" i="13"/>
  <c r="O27" i="13"/>
  <c r="M27" i="13"/>
  <c r="P26" i="13"/>
  <c r="O26" i="13"/>
  <c r="N26" i="13"/>
  <c r="M26" i="13"/>
  <c r="P25" i="13"/>
  <c r="M25" i="13"/>
  <c r="M17" i="13"/>
  <c r="P17" i="13"/>
  <c r="M18" i="13"/>
  <c r="P18" i="13"/>
  <c r="M19" i="13"/>
  <c r="N19" i="13"/>
  <c r="O19" i="13"/>
  <c r="P19" i="13"/>
  <c r="M20" i="13"/>
  <c r="N20" i="13"/>
  <c r="O20" i="13"/>
  <c r="P20" i="13"/>
  <c r="M21" i="13"/>
  <c r="N21" i="13"/>
  <c r="O21" i="13"/>
  <c r="P21" i="13"/>
  <c r="M22" i="13"/>
  <c r="N22" i="13"/>
  <c r="O22" i="13"/>
  <c r="P22" i="13"/>
  <c r="M23" i="13"/>
  <c r="N23" i="13"/>
  <c r="O23" i="13"/>
  <c r="P23" i="13"/>
  <c r="N16" i="13"/>
  <c r="O16" i="13"/>
  <c r="P16" i="13"/>
  <c r="M16" i="13"/>
  <c r="P13" i="13"/>
  <c r="O13" i="13"/>
  <c r="N13" i="13"/>
  <c r="M13" i="13"/>
  <c r="P10" i="13"/>
  <c r="O10" i="13"/>
  <c r="N10" i="13"/>
  <c r="P9" i="13"/>
  <c r="O9" i="13"/>
  <c r="P8" i="13"/>
  <c r="O8" i="13"/>
  <c r="N8" i="13"/>
  <c r="M8" i="13"/>
  <c r="P7" i="13"/>
  <c r="O7" i="13"/>
  <c r="N7" i="13"/>
  <c r="M7" i="13"/>
  <c r="P6" i="13"/>
  <c r="O6" i="13"/>
  <c r="N6" i="13"/>
  <c r="M6" i="13"/>
  <c r="O3" i="13"/>
  <c r="K81" i="4"/>
  <c r="I81" i="4" s="1"/>
  <c r="P41" i="13"/>
  <c r="K37" i="4"/>
  <c r="J37" i="4" s="1"/>
  <c r="J52" i="4" s="1"/>
  <c r="D9" i="12"/>
  <c r="D8" i="12"/>
  <c r="D7" i="12"/>
  <c r="B5" i="12"/>
  <c r="K101" i="4"/>
  <c r="J101" i="4" s="1"/>
  <c r="O98" i="4"/>
  <c r="P54" i="13" s="1"/>
  <c r="N98" i="4"/>
  <c r="O54" i="13" s="1"/>
  <c r="M98" i="4"/>
  <c r="N54" i="13" s="1"/>
  <c r="L98" i="4"/>
  <c r="M54" i="13" s="1"/>
  <c r="P58" i="13"/>
  <c r="O58" i="13"/>
  <c r="N58" i="13"/>
  <c r="M58" i="13"/>
  <c r="K80" i="4"/>
  <c r="J80" i="4" s="1"/>
  <c r="K64" i="4"/>
  <c r="J64" i="4" s="1"/>
  <c r="J67" i="4" s="1"/>
  <c r="K58" i="4"/>
  <c r="I58" i="4" s="1"/>
  <c r="K103" i="4"/>
  <c r="I103" i="4" s="1"/>
  <c r="K102" i="4"/>
  <c r="K100" i="4"/>
  <c r="I100" i="4" s="1"/>
  <c r="K95" i="4"/>
  <c r="I95" i="4" s="1"/>
  <c r="K94" i="4"/>
  <c r="I94" i="4" s="1"/>
  <c r="K93" i="4"/>
  <c r="I93" i="4" s="1"/>
  <c r="K92" i="4"/>
  <c r="I92" i="4" s="1"/>
  <c r="K91" i="4"/>
  <c r="I91" i="4" s="1"/>
  <c r="K90" i="4"/>
  <c r="I90" i="4" s="1"/>
  <c r="K89" i="4"/>
  <c r="I89" i="4" s="1"/>
  <c r="K87" i="4"/>
  <c r="I87" i="4" s="1"/>
  <c r="K86" i="4"/>
  <c r="I86" i="4" s="1"/>
  <c r="K85" i="4"/>
  <c r="I85" i="4" s="1"/>
  <c r="K83" i="4"/>
  <c r="I83" i="4" s="1"/>
  <c r="K82" i="4"/>
  <c r="I82" i="4" s="1"/>
  <c r="K79" i="4"/>
  <c r="I79" i="4" s="1"/>
  <c r="K78" i="4"/>
  <c r="K77" i="4"/>
  <c r="K75" i="4"/>
  <c r="J75" i="4" s="1"/>
  <c r="K74" i="4"/>
  <c r="I74" i="4" s="1"/>
  <c r="K73" i="4"/>
  <c r="I73" i="4" s="1"/>
  <c r="K72" i="4"/>
  <c r="I72" i="4" s="1"/>
  <c r="K71" i="4"/>
  <c r="K69" i="4"/>
  <c r="I69" i="4" s="1"/>
  <c r="N96" i="4"/>
  <c r="M84" i="4"/>
  <c r="L76" i="4"/>
  <c r="K76" i="4" s="1"/>
  <c r="I76" i="4" s="1"/>
  <c r="L70" i="4"/>
  <c r="K70" i="4" s="1"/>
  <c r="I70" i="4" s="1"/>
  <c r="L68" i="4"/>
  <c r="M39" i="13" s="1"/>
  <c r="L67" i="4"/>
  <c r="K66" i="4"/>
  <c r="I66" i="4" s="1"/>
  <c r="K65" i="4"/>
  <c r="I65" i="4" s="1"/>
  <c r="K63" i="4"/>
  <c r="I63" i="4" s="1"/>
  <c r="K62" i="4"/>
  <c r="I62" i="4" s="1"/>
  <c r="K61" i="4"/>
  <c r="I61" i="4" s="1"/>
  <c r="K60" i="4"/>
  <c r="I60" i="4" s="1"/>
  <c r="K59" i="4"/>
  <c r="I59" i="4" s="1"/>
  <c r="K57" i="4"/>
  <c r="I57" i="4" s="1"/>
  <c r="K56" i="4"/>
  <c r="I56" i="4" s="1"/>
  <c r="K55" i="4"/>
  <c r="I55" i="4" s="1"/>
  <c r="K53" i="4"/>
  <c r="I53" i="4" s="1"/>
  <c r="O67" i="4"/>
  <c r="N67" i="4"/>
  <c r="M67" i="4"/>
  <c r="N52" i="13" l="1"/>
  <c r="K5" i="16" s="1"/>
  <c r="N61" i="13"/>
  <c r="L5" i="16" s="1"/>
  <c r="N57" i="13"/>
  <c r="L4" i="16" s="1"/>
  <c r="P57" i="13"/>
  <c r="X4" i="16" s="1"/>
  <c r="M57" i="13"/>
  <c r="O52" i="13"/>
  <c r="Q5" i="16" s="1"/>
  <c r="P52" i="13"/>
  <c r="W5" i="16" s="1"/>
  <c r="Q49" i="13"/>
  <c r="M61" i="13"/>
  <c r="F5" i="16" s="1"/>
  <c r="P61" i="13"/>
  <c r="X5" i="16" s="1"/>
  <c r="AC5" i="16"/>
  <c r="O61" i="13"/>
  <c r="O57" i="13"/>
  <c r="O96" i="4"/>
  <c r="P29" i="13"/>
  <c r="U5" i="16" s="1"/>
  <c r="N41" i="13"/>
  <c r="N45" i="13" s="1"/>
  <c r="P45" i="13"/>
  <c r="W4" i="16" s="1"/>
  <c r="N27" i="13"/>
  <c r="Q27" i="13" s="1"/>
  <c r="N31" i="13"/>
  <c r="N35" i="13" s="1"/>
  <c r="M41" i="13"/>
  <c r="O31" i="13"/>
  <c r="O35" i="13" s="1"/>
  <c r="Q55" i="13"/>
  <c r="Q56" i="13"/>
  <c r="Q59" i="13"/>
  <c r="Q60" i="13"/>
  <c r="P31" i="13"/>
  <c r="P35" i="13" s="1"/>
  <c r="O41" i="13"/>
  <c r="O45" i="13" s="1"/>
  <c r="Q58" i="13"/>
  <c r="Q40" i="13"/>
  <c r="Q44" i="13"/>
  <c r="Q42" i="13"/>
  <c r="Q43" i="13"/>
  <c r="Q47" i="13"/>
  <c r="Q48" i="13"/>
  <c r="Q50" i="13"/>
  <c r="Q51" i="13"/>
  <c r="Q54" i="13"/>
  <c r="M52" i="13"/>
  <c r="E5" i="16" s="1"/>
  <c r="Q46" i="13"/>
  <c r="Q16" i="13"/>
  <c r="Q26" i="13"/>
  <c r="Q28" i="13"/>
  <c r="Q32" i="13"/>
  <c r="Q33" i="13"/>
  <c r="Q34" i="13"/>
  <c r="Q37" i="13"/>
  <c r="Q39" i="13"/>
  <c r="Q21" i="13"/>
  <c r="Q20" i="13"/>
  <c r="Q19" i="13"/>
  <c r="P24" i="13"/>
  <c r="U4" i="16" s="1"/>
  <c r="U6" i="16" s="1"/>
  <c r="Q36" i="13"/>
  <c r="Q23" i="13"/>
  <c r="Q22" i="13"/>
  <c r="M35" i="13"/>
  <c r="D4" i="16" s="1"/>
  <c r="D6" i="16" s="1"/>
  <c r="Q6" i="13"/>
  <c r="Q7" i="13"/>
  <c r="Q8" i="13"/>
  <c r="Q13" i="13"/>
  <c r="M24" i="13"/>
  <c r="C4" i="16" s="1"/>
  <c r="M29" i="13"/>
  <c r="C5" i="16" s="1"/>
  <c r="O104" i="4"/>
  <c r="K99" i="4"/>
  <c r="L104" i="4"/>
  <c r="M104" i="4"/>
  <c r="N104" i="4"/>
  <c r="J100" i="4"/>
  <c r="J102" i="4"/>
  <c r="I102" i="4" s="1"/>
  <c r="J77" i="4"/>
  <c r="I77" i="4" s="1"/>
  <c r="J71" i="4"/>
  <c r="I75" i="4"/>
  <c r="K98" i="4"/>
  <c r="I98" i="4" s="1"/>
  <c r="M96" i="4"/>
  <c r="K88" i="4"/>
  <c r="I88" i="4" s="1"/>
  <c r="L96" i="4"/>
  <c r="K84" i="4"/>
  <c r="I84" i="4" s="1"/>
  <c r="K68" i="4"/>
  <c r="I68" i="4" s="1"/>
  <c r="K54" i="4"/>
  <c r="F4" i="16" l="1"/>
  <c r="M62" i="13"/>
  <c r="L6" i="16"/>
  <c r="X6" i="16"/>
  <c r="N62" i="13"/>
  <c r="O38" i="13"/>
  <c r="P4" i="16"/>
  <c r="P6" i="16" s="1"/>
  <c r="O62" i="13"/>
  <c r="R4" i="16"/>
  <c r="Q61" i="13"/>
  <c r="R5" i="16"/>
  <c r="AF5" i="16" s="1"/>
  <c r="W6" i="16"/>
  <c r="F6" i="16"/>
  <c r="P38" i="13"/>
  <c r="V4" i="16"/>
  <c r="V6" i="16" s="1"/>
  <c r="AD5" i="16"/>
  <c r="P62" i="13"/>
  <c r="O53" i="13"/>
  <c r="Q4" i="16"/>
  <c r="Q6" i="16" s="1"/>
  <c r="P53" i="13"/>
  <c r="N38" i="13"/>
  <c r="J4" i="16"/>
  <c r="N53" i="13"/>
  <c r="K4" i="16"/>
  <c r="C6" i="16"/>
  <c r="Q57" i="13"/>
  <c r="P30" i="13"/>
  <c r="Q41" i="13"/>
  <c r="Q45" i="13" s="1"/>
  <c r="Q31" i="13"/>
  <c r="M45" i="13"/>
  <c r="K104" i="4"/>
  <c r="Q52" i="13"/>
  <c r="Q35" i="13"/>
  <c r="Q38" i="13" s="1"/>
  <c r="M38" i="13"/>
  <c r="M30" i="13"/>
  <c r="J104" i="4"/>
  <c r="J96" i="4"/>
  <c r="I104" i="4"/>
  <c r="K67" i="4"/>
  <c r="I54" i="4"/>
  <c r="I67" i="4" s="1"/>
  <c r="I71" i="4"/>
  <c r="I96" i="4" s="1"/>
  <c r="K96" i="4"/>
  <c r="Q62" i="13" l="1"/>
  <c r="R6" i="16"/>
  <c r="AF4" i="16"/>
  <c r="AF6" i="16" s="1"/>
  <c r="M53" i="13"/>
  <c r="E4" i="16"/>
  <c r="E6" i="16" s="1"/>
  <c r="AC4" i="16"/>
  <c r="AC6" i="16" s="1"/>
  <c r="J6" i="16"/>
  <c r="K6" i="16"/>
  <c r="Q53" i="13"/>
  <c r="AD4" i="16" l="1"/>
  <c r="AD6" i="16" s="1"/>
  <c r="O52" i="4"/>
  <c r="L52" i="4"/>
  <c r="K51" i="4"/>
  <c r="I51" i="4" s="1"/>
  <c r="K50" i="4"/>
  <c r="I50" i="4" s="1"/>
  <c r="K49" i="4"/>
  <c r="I49" i="4" s="1"/>
  <c r="K48" i="4"/>
  <c r="I48" i="4" s="1"/>
  <c r="K47" i="4"/>
  <c r="I47" i="4" s="1"/>
  <c r="K46" i="4"/>
  <c r="I46" i="4" s="1"/>
  <c r="K42" i="4"/>
  <c r="I42" i="4" s="1"/>
  <c r="K38" i="4"/>
  <c r="I38" i="4" s="1"/>
  <c r="K36" i="4"/>
  <c r="I36" i="4" s="1"/>
  <c r="K35" i="4"/>
  <c r="I35" i="4" s="1"/>
  <c r="K33" i="4"/>
  <c r="I33" i="4" s="1"/>
  <c r="K45" i="4"/>
  <c r="I45" i="4" s="1"/>
  <c r="O18" i="13"/>
  <c r="N18" i="13"/>
  <c r="O25" i="13"/>
  <c r="O29" i="13" s="1"/>
  <c r="O5" i="16" s="1"/>
  <c r="K31" i="4"/>
  <c r="I31" i="4" s="1"/>
  <c r="K28" i="4"/>
  <c r="I28" i="4" s="1"/>
  <c r="K27" i="4"/>
  <c r="I27" i="4" s="1"/>
  <c r="K21" i="4"/>
  <c r="I21" i="4" s="1"/>
  <c r="K20" i="4"/>
  <c r="I20" i="4" s="1"/>
  <c r="N25" i="13" l="1"/>
  <c r="N29" i="13" s="1"/>
  <c r="O17" i="13"/>
  <c r="O24" i="13" s="1"/>
  <c r="Q18" i="13"/>
  <c r="N17" i="13"/>
  <c r="K40" i="4"/>
  <c r="I40" i="4" s="1"/>
  <c r="K43" i="4"/>
  <c r="I43" i="4" s="1"/>
  <c r="K41" i="4"/>
  <c r="I41" i="4" s="1"/>
  <c r="K44" i="4"/>
  <c r="I44" i="4" s="1"/>
  <c r="M52" i="4"/>
  <c r="N52" i="4"/>
  <c r="K39" i="4"/>
  <c r="I39" i="4" s="1"/>
  <c r="O30" i="4"/>
  <c r="K30" i="4" s="1"/>
  <c r="I30" i="4" s="1"/>
  <c r="O29" i="4"/>
  <c r="M26" i="4"/>
  <c r="L26" i="4"/>
  <c r="M25" i="4"/>
  <c r="L25" i="4"/>
  <c r="M24" i="4"/>
  <c r="L24" i="4"/>
  <c r="L23" i="4"/>
  <c r="M22" i="4"/>
  <c r="N9" i="13" s="1"/>
  <c r="L22" i="4"/>
  <c r="M18" i="4"/>
  <c r="L18" i="4"/>
  <c r="M17" i="4"/>
  <c r="L17" i="4"/>
  <c r="K16" i="4"/>
  <c r="I16" i="4" s="1"/>
  <c r="K15" i="4"/>
  <c r="I15" i="4" s="1"/>
  <c r="K14" i="4"/>
  <c r="I14" i="4" s="1"/>
  <c r="P12" i="13"/>
  <c r="P14" i="13" s="1"/>
  <c r="O12" i="13"/>
  <c r="O14" i="13" s="1"/>
  <c r="N12" i="13"/>
  <c r="N14" i="13" s="1"/>
  <c r="H5" i="16" s="1"/>
  <c r="O4" i="4"/>
  <c r="N4" i="4"/>
  <c r="M4" i="4"/>
  <c r="L4" i="4"/>
  <c r="K9" i="4"/>
  <c r="I9" i="4" s="1"/>
  <c r="L7" i="4"/>
  <c r="L3" i="4"/>
  <c r="M12" i="13" s="1"/>
  <c r="O5" i="4"/>
  <c r="P5" i="13" s="1"/>
  <c r="N5" i="4"/>
  <c r="O5" i="13" s="1"/>
  <c r="M5" i="4"/>
  <c r="L5" i="4"/>
  <c r="L10" i="4"/>
  <c r="L8" i="4"/>
  <c r="K8" i="4" s="1"/>
  <c r="I8" i="4" s="1"/>
  <c r="K6" i="4"/>
  <c r="I6" i="4" s="1"/>
  <c r="O64" i="13" l="1"/>
  <c r="N5" i="16"/>
  <c r="S5" i="16" s="1"/>
  <c r="D4" i="18" s="1"/>
  <c r="O30" i="13"/>
  <c r="O4" i="16"/>
  <c r="O6" i="16" s="1"/>
  <c r="P64" i="13"/>
  <c r="T5" i="16"/>
  <c r="Y5" i="16" s="1"/>
  <c r="E4" i="18" s="1"/>
  <c r="Q25" i="13"/>
  <c r="Q29" i="13"/>
  <c r="I5" i="16"/>
  <c r="AB5" i="16" s="1"/>
  <c r="M5" i="13"/>
  <c r="O4" i="13"/>
  <c r="O11" i="13" s="1"/>
  <c r="N4" i="16" s="1"/>
  <c r="N64" i="13"/>
  <c r="N4" i="13"/>
  <c r="N3" i="13"/>
  <c r="N5" i="13"/>
  <c r="K10" i="4"/>
  <c r="I10" i="4" s="1"/>
  <c r="M9" i="13"/>
  <c r="Q9" i="13" s="1"/>
  <c r="M4" i="13"/>
  <c r="K23" i="4"/>
  <c r="I23" i="4" s="1"/>
  <c r="M10" i="13"/>
  <c r="Q10" i="13" s="1"/>
  <c r="N24" i="13"/>
  <c r="I4" i="16" s="1"/>
  <c r="Q17" i="13"/>
  <c r="K7" i="4"/>
  <c r="I7" i="4" s="1"/>
  <c r="M3" i="13"/>
  <c r="M14" i="13"/>
  <c r="B5" i="16" s="1"/>
  <c r="Q12" i="13"/>
  <c r="P4" i="13"/>
  <c r="K29" i="4"/>
  <c r="I29" i="4" s="1"/>
  <c r="P3" i="13"/>
  <c r="I52" i="4"/>
  <c r="K18" i="4"/>
  <c r="I18" i="4" s="1"/>
  <c r="K52" i="4"/>
  <c r="N32" i="4"/>
  <c r="N97" i="4" s="1"/>
  <c r="N105" i="4" s="1"/>
  <c r="O32" i="4"/>
  <c r="O97" i="4" s="1"/>
  <c r="O105" i="4" s="1"/>
  <c r="K3" i="4"/>
  <c r="L32" i="4"/>
  <c r="L97" i="4" s="1"/>
  <c r="L105" i="4" s="1"/>
  <c r="M32" i="4"/>
  <c r="M97" i="4" s="1"/>
  <c r="M105" i="4" s="1"/>
  <c r="K25" i="4"/>
  <c r="I25" i="4" s="1"/>
  <c r="K22" i="4"/>
  <c r="I22" i="4" s="1"/>
  <c r="K24" i="4"/>
  <c r="I24" i="4" s="1"/>
  <c r="K26" i="4"/>
  <c r="I26" i="4" s="1"/>
  <c r="K17" i="4"/>
  <c r="I17" i="4" s="1"/>
  <c r="K19" i="4"/>
  <c r="I19" i="4" s="1"/>
  <c r="K11" i="4"/>
  <c r="K13" i="4"/>
  <c r="I13" i="4" s="1"/>
  <c r="K12" i="4"/>
  <c r="I12" i="4" s="1"/>
  <c r="K4" i="4"/>
  <c r="I4" i="4" s="1"/>
  <c r="K5" i="4"/>
  <c r="I5" i="4" s="1"/>
  <c r="AJ5" i="16" l="1"/>
  <c r="AL5" i="16" s="1"/>
  <c r="S4" i="16"/>
  <c r="D3" i="18" s="1"/>
  <c r="N6" i="16"/>
  <c r="S6" i="16" s="1"/>
  <c r="I6" i="16"/>
  <c r="AB4" i="16"/>
  <c r="Q5" i="13"/>
  <c r="M5" i="16"/>
  <c r="C4" i="18" s="1"/>
  <c r="AA5" i="16"/>
  <c r="AE5" i="16" s="1"/>
  <c r="AG5" i="16" s="1"/>
  <c r="G5" i="16"/>
  <c r="B4" i="18" s="1"/>
  <c r="N11" i="13"/>
  <c r="H4" i="16" s="1"/>
  <c r="P11" i="13"/>
  <c r="T4" i="16" s="1"/>
  <c r="Q14" i="13"/>
  <c r="Q64" i="13" s="1"/>
  <c r="M64" i="13"/>
  <c r="O15" i="13"/>
  <c r="O63" i="13"/>
  <c r="O65" i="13" s="1"/>
  <c r="N30" i="13"/>
  <c r="Q24" i="13"/>
  <c r="Q30" i="13" s="1"/>
  <c r="Q4" i="13"/>
  <c r="Q3" i="13"/>
  <c r="M11" i="13"/>
  <c r="J11" i="4"/>
  <c r="I11" i="4" s="1"/>
  <c r="J3" i="4"/>
  <c r="K32" i="4"/>
  <c r="K97" i="4" s="1"/>
  <c r="K105" i="4" s="1"/>
  <c r="B4" i="16" l="1"/>
  <c r="M63" i="13"/>
  <c r="F4" i="18"/>
  <c r="N63" i="13"/>
  <c r="N65" i="13" s="1"/>
  <c r="Z5" i="16"/>
  <c r="T6" i="16"/>
  <c r="Y6" i="16" s="1"/>
  <c r="Y4" i="16"/>
  <c r="E3" i="18" s="1"/>
  <c r="H6" i="16"/>
  <c r="M6" i="16" s="1"/>
  <c r="M4" i="16"/>
  <c r="C3" i="18" s="1"/>
  <c r="AJ4" i="16"/>
  <c r="AB6" i="16"/>
  <c r="N15" i="13"/>
  <c r="AA4" i="16"/>
  <c r="AE4" i="16" s="1"/>
  <c r="B6" i="16"/>
  <c r="G6" i="16" s="1"/>
  <c r="G4" i="16"/>
  <c r="B3" i="18" s="1"/>
  <c r="M65" i="13"/>
  <c r="M15" i="13"/>
  <c r="Q11" i="13"/>
  <c r="Q63" i="13" s="1"/>
  <c r="Q65" i="13" s="1"/>
  <c r="P15" i="13"/>
  <c r="P63" i="13"/>
  <c r="P65" i="13" s="1"/>
  <c r="J32" i="4"/>
  <c r="J97" i="4" s="1"/>
  <c r="J105" i="4" s="1"/>
  <c r="I3" i="4"/>
  <c r="I32" i="4" s="1"/>
  <c r="I97" i="4" s="1"/>
  <c r="I105" i="4" s="1"/>
  <c r="AH4" i="16" l="1"/>
  <c r="AG4" i="16"/>
  <c r="F3" i="18"/>
  <c r="Z4" i="16"/>
  <c r="Z6" i="16"/>
  <c r="G7" i="16" s="1"/>
  <c r="AA6" i="16"/>
  <c r="AE6" i="16" s="1"/>
  <c r="AG6" i="16" s="1"/>
  <c r="AJ6" i="16"/>
  <c r="AL6" i="16" s="1"/>
  <c r="AL4" i="16"/>
  <c r="AK7" i="16" s="1"/>
  <c r="Q15" i="13"/>
  <c r="H105" i="4"/>
  <c r="Y7" i="16" l="1"/>
  <c r="M7" i="16"/>
  <c r="S7" i="16"/>
  <c r="AJ7" i="16"/>
  <c r="AL7" i="16" s="1"/>
  <c r="AA7" i="16"/>
  <c r="AG7" i="16" l="1"/>
  <c r="AF7" i="16"/>
  <c r="AD7" i="16"/>
  <c r="AC7" i="16"/>
  <c r="AB7" i="16"/>
  <c r="AE7" i="16" l="1"/>
  <c r="V14" i="16"/>
  <c r="X15" i="16"/>
  <c r="U12" i="16"/>
  <c r="T10" i="16"/>
  <c r="X9" i="16"/>
  <c r="U10" i="16"/>
  <c r="T9" i="16"/>
  <c r="X12" i="16"/>
  <c r="W9" i="16"/>
  <c r="T12" i="16"/>
  <c r="X14" i="16"/>
  <c r="T15" i="16"/>
  <c r="U13" i="16"/>
  <c r="U8" i="16"/>
  <c r="W10" i="16"/>
  <c r="X8" i="16"/>
  <c r="U14" i="16"/>
  <c r="T14" i="16"/>
  <c r="W14" i="16"/>
  <c r="V10" i="16"/>
  <c r="V9" i="16"/>
  <c r="V13" i="16"/>
  <c r="U11" i="16"/>
  <c r="W8" i="16"/>
  <c r="W15" i="16"/>
  <c r="T13" i="16"/>
  <c r="U15" i="16"/>
  <c r="V11" i="16"/>
  <c r="X11" i="16"/>
  <c r="U9" i="16"/>
  <c r="V15" i="16"/>
  <c r="W13" i="16"/>
  <c r="T11" i="16"/>
  <c r="W12" i="16"/>
  <c r="T8" i="16"/>
  <c r="W11" i="16"/>
  <c r="V8" i="16"/>
  <c r="X10" i="16"/>
  <c r="V12" i="16"/>
  <c r="X13" i="16"/>
  <c r="L13" i="16"/>
  <c r="J15" i="16"/>
  <c r="H10" i="16"/>
  <c r="L9" i="16"/>
  <c r="J9" i="16"/>
  <c r="I15" i="16"/>
  <c r="I9" i="16"/>
  <c r="I13" i="16"/>
  <c r="K8" i="16"/>
  <c r="K12" i="16"/>
  <c r="J11" i="16"/>
  <c r="L10" i="16"/>
  <c r="L14" i="16"/>
  <c r="I14" i="16"/>
  <c r="H14" i="16"/>
  <c r="L8" i="16"/>
  <c r="K14" i="16"/>
  <c r="J13" i="16"/>
  <c r="L12" i="16"/>
  <c r="I10" i="16"/>
  <c r="I11" i="16"/>
  <c r="K10" i="16"/>
  <c r="I12" i="16"/>
  <c r="H8" i="16"/>
  <c r="H12" i="16"/>
  <c r="H9" i="16"/>
  <c r="J8" i="16"/>
  <c r="K11" i="16"/>
  <c r="K9" i="16"/>
  <c r="I8" i="16"/>
  <c r="L15" i="16"/>
  <c r="K15" i="16"/>
  <c r="H11" i="16"/>
  <c r="J10" i="16"/>
  <c r="L11" i="16"/>
  <c r="J12" i="16"/>
  <c r="H13" i="16"/>
  <c r="J14" i="16"/>
  <c r="K13" i="16"/>
  <c r="H15" i="16"/>
  <c r="R14" i="16"/>
  <c r="R12" i="16"/>
  <c r="Q14" i="16"/>
  <c r="R13" i="16"/>
  <c r="R8" i="16"/>
  <c r="O14" i="16"/>
  <c r="O13" i="16"/>
  <c r="N10" i="16"/>
  <c r="R10" i="16"/>
  <c r="R15" i="16"/>
  <c r="N14" i="16"/>
  <c r="O11" i="16"/>
  <c r="O15" i="16"/>
  <c r="Q15" i="16"/>
  <c r="N9" i="16"/>
  <c r="R9" i="16"/>
  <c r="P10" i="16"/>
  <c r="O9" i="16"/>
  <c r="P11" i="16"/>
  <c r="P13" i="16"/>
  <c r="P15" i="16"/>
  <c r="O12" i="16"/>
  <c r="N12" i="16"/>
  <c r="P8" i="16"/>
  <c r="P12" i="16"/>
  <c r="Q12" i="16"/>
  <c r="Q11" i="16"/>
  <c r="O8" i="16"/>
  <c r="Q13" i="16"/>
  <c r="N8" i="16"/>
  <c r="P9" i="16"/>
  <c r="O10" i="16"/>
  <c r="N15" i="16"/>
  <c r="Q10" i="16"/>
  <c r="Q9" i="16"/>
  <c r="R11" i="16"/>
  <c r="P14" i="16"/>
  <c r="Q8" i="16"/>
  <c r="N11" i="16"/>
  <c r="N13" i="16"/>
  <c r="F14" i="16"/>
  <c r="F8" i="16"/>
  <c r="D11" i="16"/>
  <c r="F12" i="16"/>
  <c r="D13" i="16"/>
  <c r="C11" i="16"/>
  <c r="D8" i="16"/>
  <c r="Z7" i="16"/>
  <c r="D14" i="16"/>
  <c r="D10" i="16"/>
  <c r="C9" i="16"/>
  <c r="B14" i="16"/>
  <c r="F15" i="16"/>
  <c r="B15" i="16"/>
  <c r="D15" i="16"/>
  <c r="C8" i="16"/>
  <c r="C15" i="16"/>
  <c r="E9" i="16"/>
  <c r="E15" i="16"/>
  <c r="E11" i="16"/>
  <c r="F9" i="16"/>
  <c r="D12" i="16"/>
  <c r="E10" i="16"/>
  <c r="B13" i="16"/>
  <c r="C10" i="16"/>
  <c r="D9" i="16"/>
  <c r="E13" i="16"/>
  <c r="C14" i="16"/>
  <c r="B12" i="16"/>
  <c r="B8" i="16"/>
  <c r="B11" i="16"/>
  <c r="E8" i="16"/>
  <c r="E14" i="16"/>
  <c r="E12" i="16"/>
  <c r="C12" i="16"/>
  <c r="B9" i="16"/>
  <c r="F13" i="16"/>
  <c r="F11" i="16"/>
  <c r="B10" i="16"/>
  <c r="F10" i="16"/>
  <c r="C13" i="16"/>
  <c r="AD10" i="16" l="1"/>
  <c r="AC15" i="16"/>
  <c r="AF10" i="16"/>
  <c r="M8" i="16"/>
  <c r="C5" i="18" s="1"/>
  <c r="AD8" i="16"/>
  <c r="S13" i="16"/>
  <c r="D10" i="18" s="1"/>
  <c r="AB8" i="16"/>
  <c r="AK8" i="16" s="1"/>
  <c r="S11" i="16"/>
  <c r="D8" i="18" s="1"/>
  <c r="AF11" i="16"/>
  <c r="M15" i="16"/>
  <c r="C12" i="18" s="1"/>
  <c r="S12" i="16"/>
  <c r="D9" i="18" s="1"/>
  <c r="Y9" i="16"/>
  <c r="E6" i="18" s="1"/>
  <c r="AD11" i="16"/>
  <c r="AD14" i="16"/>
  <c r="AD9" i="16"/>
  <c r="AC10" i="16"/>
  <c r="AB14" i="16"/>
  <c r="AK14" i="16" s="1"/>
  <c r="G13" i="16"/>
  <c r="B10" i="18" s="1"/>
  <c r="AA13" i="16"/>
  <c r="G10" i="16"/>
  <c r="B7" i="18" s="1"/>
  <c r="AA10" i="16"/>
  <c r="AC12" i="16"/>
  <c r="G15" i="16"/>
  <c r="B12" i="18" s="1"/>
  <c r="AA15" i="16"/>
  <c r="AB11" i="16"/>
  <c r="S8" i="16"/>
  <c r="D5" i="18" s="1"/>
  <c r="M14" i="16"/>
  <c r="C11" i="18" s="1"/>
  <c r="S9" i="16"/>
  <c r="D6" i="18" s="1"/>
  <c r="AF13" i="16"/>
  <c r="G12" i="16"/>
  <c r="B9" i="18" s="1"/>
  <c r="AA12" i="16"/>
  <c r="AF9" i="16"/>
  <c r="AF15" i="16"/>
  <c r="AC13" i="16"/>
  <c r="M13" i="16"/>
  <c r="C10" i="18" s="1"/>
  <c r="AA14" i="16"/>
  <c r="G14" i="16"/>
  <c r="B11" i="18" s="1"/>
  <c r="Y15" i="16"/>
  <c r="E12" i="18" s="1"/>
  <c r="Y10" i="16"/>
  <c r="E7" i="18" s="1"/>
  <c r="S10" i="16"/>
  <c r="D7" i="18" s="1"/>
  <c r="AF12" i="16"/>
  <c r="M12" i="16"/>
  <c r="C9" i="18" s="1"/>
  <c r="AB12" i="16"/>
  <c r="AD13" i="16"/>
  <c r="AD15" i="16"/>
  <c r="AB9" i="16"/>
  <c r="AC11" i="16"/>
  <c r="S14" i="16"/>
  <c r="D11" i="18" s="1"/>
  <c r="Y8" i="16"/>
  <c r="E5" i="18" s="1"/>
  <c r="AF14" i="16"/>
  <c r="AA11" i="16"/>
  <c r="G11" i="16"/>
  <c r="B8" i="18" s="1"/>
  <c r="AA8" i="16"/>
  <c r="G8" i="16"/>
  <c r="B5" i="18" s="1"/>
  <c r="B16" i="16"/>
  <c r="AD12" i="16"/>
  <c r="M9" i="16"/>
  <c r="C6" i="18" s="1"/>
  <c r="Y13" i="16"/>
  <c r="E10" i="18" s="1"/>
  <c r="Y14" i="16"/>
  <c r="E11" i="18" s="1"/>
  <c r="Y12" i="16"/>
  <c r="E9" i="18" s="1"/>
  <c r="AC8" i="16"/>
  <c r="AA9" i="16"/>
  <c r="G9" i="16"/>
  <c r="B6" i="18" s="1"/>
  <c r="AC9" i="16"/>
  <c r="AF8" i="16"/>
  <c r="M10" i="16"/>
  <c r="C7" i="18" s="1"/>
  <c r="AB13" i="16"/>
  <c r="AB10" i="16"/>
  <c r="AB15" i="16"/>
  <c r="AC14" i="16"/>
  <c r="S15" i="16"/>
  <c r="D12" i="18" s="1"/>
  <c r="M11" i="16"/>
  <c r="C8" i="18" s="1"/>
  <c r="Y11" i="16"/>
  <c r="E8" i="18" s="1"/>
  <c r="AE11" i="16" l="1"/>
  <c r="AG11" i="16" s="1"/>
  <c r="AE14" i="16"/>
  <c r="AG14" i="16" s="1"/>
  <c r="AE15" i="16"/>
  <c r="AG15" i="16" s="1"/>
  <c r="AE12" i="16"/>
  <c r="AG12" i="16" s="1"/>
  <c r="AE13" i="16"/>
  <c r="AG13" i="16" s="1"/>
  <c r="AE9" i="16"/>
  <c r="AG9" i="16" s="1"/>
  <c r="AE8" i="16"/>
  <c r="AG8" i="16" s="1"/>
  <c r="AE10" i="16"/>
  <c r="AG10" i="16" s="1"/>
  <c r="C13" i="18"/>
  <c r="F6" i="18"/>
  <c r="F12" i="18"/>
  <c r="F8" i="18"/>
  <c r="F7" i="18"/>
  <c r="F5" i="18"/>
  <c r="B13" i="18"/>
  <c r="F9" i="18"/>
  <c r="D13" i="18"/>
  <c r="F10" i="18"/>
  <c r="E13" i="18"/>
  <c r="F11" i="18"/>
  <c r="AJ8" i="16"/>
  <c r="AL8" i="16" s="1"/>
  <c r="AB16" i="16"/>
  <c r="AB17" i="16" s="1"/>
  <c r="AB18" i="16" s="1"/>
  <c r="AD16" i="16"/>
  <c r="AD17" i="16" s="1"/>
  <c r="AD18" i="16" s="1"/>
  <c r="AJ14" i="16"/>
  <c r="AL14" i="16" s="1"/>
  <c r="M16" i="16"/>
  <c r="M17" i="16" s="1"/>
  <c r="M18" i="16" s="1"/>
  <c r="AA16" i="16"/>
  <c r="AF16" i="16"/>
  <c r="AF17" i="16" s="1"/>
  <c r="AF18" i="16" s="1"/>
  <c r="AK10" i="16"/>
  <c r="AJ10" i="16"/>
  <c r="AK11" i="16"/>
  <c r="AJ11" i="16"/>
  <c r="Z15" i="16"/>
  <c r="Z9" i="16"/>
  <c r="Z14" i="16"/>
  <c r="AK12" i="16"/>
  <c r="AJ12" i="16"/>
  <c r="Y16" i="16"/>
  <c r="Y17" i="16" s="1"/>
  <c r="Y18" i="16" s="1"/>
  <c r="Z12" i="16"/>
  <c r="AK15" i="16"/>
  <c r="AJ15" i="16"/>
  <c r="AC16" i="16"/>
  <c r="AC17" i="16" s="1"/>
  <c r="AC18" i="16" s="1"/>
  <c r="Z8" i="16"/>
  <c r="G16" i="16"/>
  <c r="AK9" i="16"/>
  <c r="AJ9" i="16"/>
  <c r="Z10" i="16"/>
  <c r="AK13" i="16"/>
  <c r="AJ13" i="16"/>
  <c r="Z11" i="16"/>
  <c r="S16" i="16"/>
  <c r="S17" i="16" s="1"/>
  <c r="S18" i="16" s="1"/>
  <c r="Z13" i="16"/>
  <c r="AA17" i="16" l="1"/>
  <c r="AE16" i="16"/>
  <c r="AG16" i="16" s="1"/>
  <c r="F13" i="18"/>
  <c r="AL10" i="16"/>
  <c r="AL13" i="16"/>
  <c r="AK16" i="16"/>
  <c r="AK17" i="16" s="1"/>
  <c r="AK18" i="16" s="1"/>
  <c r="AL12" i="16"/>
  <c r="AL11" i="16"/>
  <c r="AL15" i="16"/>
  <c r="AL9" i="16"/>
  <c r="Z16" i="16"/>
  <c r="G17" i="16"/>
  <c r="AJ16" i="16"/>
  <c r="AA18" i="16" l="1"/>
  <c r="AE18" i="16" s="1"/>
  <c r="AG18" i="16" s="1"/>
  <c r="AE17" i="16"/>
  <c r="AG17" i="16" s="1"/>
  <c r="AH23" i="16" s="1"/>
  <c r="AL16" i="16"/>
  <c r="AJ17" i="16"/>
  <c r="G18" i="16"/>
  <c r="Z18" i="16" s="1"/>
  <c r="Z17" i="16"/>
  <c r="AJ18" i="16" l="1"/>
  <c r="AL18" i="16" s="1"/>
  <c r="AL17" i="16"/>
</calcChain>
</file>

<file path=xl/sharedStrings.xml><?xml version="1.0" encoding="utf-8"?>
<sst xmlns="http://schemas.openxmlformats.org/spreadsheetml/2006/main" count="639" uniqueCount="334">
  <si>
    <t>Description</t>
  </si>
  <si>
    <t>TOTAL</t>
  </si>
  <si>
    <t>SUBTOTAL</t>
  </si>
  <si>
    <t>TOTAL PROJECT COST</t>
  </si>
  <si>
    <t>Project Management Cost</t>
  </si>
  <si>
    <t>Year 1</t>
  </si>
  <si>
    <t>Year 2</t>
  </si>
  <si>
    <t>Year 3</t>
  </si>
  <si>
    <t>Project Components</t>
  </si>
  <si>
    <t>Financing type</t>
  </si>
  <si>
    <t>Expected Outcome</t>
  </si>
  <si>
    <t>Expected Outputs</t>
  </si>
  <si>
    <t>Code</t>
  </si>
  <si>
    <t>Sub-total Component 1</t>
  </si>
  <si>
    <t>TA</t>
  </si>
  <si>
    <t>Sub-total Component 2</t>
  </si>
  <si>
    <t>Sub-total Component 3</t>
  </si>
  <si>
    <t>Sub-total Component 4</t>
  </si>
  <si>
    <t>Travel</t>
  </si>
  <si>
    <t>Component 1: Policy and Regulation</t>
  </si>
  <si>
    <t>1. Stakeholder ownership in a national minigrid delivery model is advanced, and appropriate policies and regulations are adopted to facilitate investment in low-carbon minigrids.</t>
  </si>
  <si>
    <t>1.1.</t>
  </si>
  <si>
    <t>UNDP Budget Lines</t>
  </si>
  <si>
    <t>Component 2: Project and Business Model Innovation with Private Sector Engagement</t>
  </si>
  <si>
    <t>2. Innovative business models based on cost reduction operationalized, with strengthened private sector participation in low-carbon minigrid development</t>
  </si>
  <si>
    <t>Inv &amp; TA</t>
  </si>
  <si>
    <t>2.1.</t>
  </si>
  <si>
    <t>2.2.</t>
  </si>
  <si>
    <t>2.3.</t>
  </si>
  <si>
    <t>4.Data and digitalization are mainstreamed, across stakeholders, into local minigrid market development.  Increased knowledge, awareness and network opportunities in the minigrid market and among stakeholders, including benefitting from linkages to international good practice</t>
  </si>
  <si>
    <t>A Quality Assurance and Monitoring Framework for measuring, reporting and verification of the sustainable development impacts of all minigrids pilots supported, including GHG emission reductions, is adopted and operationalized based on standardized guidance from the regional project</t>
  </si>
  <si>
    <t>Year 4</t>
  </si>
  <si>
    <t>UNDP</t>
  </si>
  <si>
    <t>International consultants</t>
  </si>
  <si>
    <t>Local Consultants</t>
  </si>
  <si>
    <t>Contractual Services - companies</t>
  </si>
  <si>
    <t>Materials &amp; Goods</t>
  </si>
  <si>
    <t>Supplies</t>
  </si>
  <si>
    <t>Audio Visual &amp; Print Prod Costs</t>
  </si>
  <si>
    <t>Miscellaneous expenses</t>
  </si>
  <si>
    <t>Training, workshop and conferences</t>
  </si>
  <si>
    <t>IT Equipment</t>
  </si>
  <si>
    <t>Professional Services (Audit)</t>
  </si>
  <si>
    <t>Support provided to establish and grow a national industry association for private sector developers</t>
  </si>
  <si>
    <t>Domestic financial sector capacity-building on business and financing models for minigrids</t>
  </si>
  <si>
    <t>General market intelligence study on minigrids in regions complementary to WB and AfDB investments prepared and disseminated amongst public officials and finance community</t>
  </si>
  <si>
    <t>Lessons learned captured and disseminated at all levels</t>
  </si>
  <si>
    <t xml:space="preserve">Replication plan (including investment plan) for scaling up rural energy access developed
</t>
  </si>
  <si>
    <t>Capacity of winning tender bidders / new COOPELs and private sector actors (industry associations such as APER and others) strengthened to develop and implement innovative business models and cost-reduction levers.</t>
  </si>
  <si>
    <t xml:space="preserve">Pilots developed, including on productive use/innovative appliances and modular hardware/system design, leading to cost-reduction in mini-grids (in regions complementing WB and AfDB investments).  
</t>
  </si>
  <si>
    <t xml:space="preserve"> Domestication of quality standards for solar minigrid components, and institutional capacity of national standards organizations/bureau strengthened
</t>
  </si>
  <si>
    <t xml:space="preserve"> Drafting a specific minigrid strategy including Mini-grid delivery model(s) identified from national dialogue on mini-grids.</t>
  </si>
  <si>
    <t>Operationalizing a certification scheme for installer building on ECREEE’s Regional Certification Scheme</t>
  </si>
  <si>
    <t>Capacity building of public officials (regulator, ministries, agencies) and private sector to fully play their role (tariffs, design procurement/tender processes that incorporate cost-reduction levers and innovative business models etc.) vis-à-vis texts emanating from the Energy Law</t>
  </si>
  <si>
    <t>1.2</t>
  </si>
  <si>
    <t>1.3</t>
  </si>
  <si>
    <t>1.4</t>
  </si>
  <si>
    <t>1.5</t>
  </si>
  <si>
    <t xml:space="preserve">Light quantitative mini-grid DREI techno-economic analysis carried in Year 4 </t>
  </si>
  <si>
    <t>Hiring in year 2-4 of a consultant or local firm to gather data and audio-visual content (video footage, photos, etc.) on the national project subject of choice for the ‘insight brief</t>
  </si>
  <si>
    <t>ABER</t>
  </si>
  <si>
    <t>Atlas Activity (GEF Component)</t>
  </si>
  <si>
    <t>Atlas Fund ID</t>
  </si>
  <si>
    <t>Donor Name</t>
  </si>
  <si>
    <t>Atlas Budgetary Account Code</t>
  </si>
  <si>
    <t>ATLAS Budget Account Description</t>
  </si>
  <si>
    <t>Amount Year 1 (USD)</t>
  </si>
  <si>
    <t>Amount Year 2 (USD)</t>
  </si>
  <si>
    <t>Amount Year 3 (USD)</t>
  </si>
  <si>
    <t>Amount Year 4 (USD)</t>
  </si>
  <si>
    <t>Total (USD)</t>
  </si>
  <si>
    <t>See Budget Note:</t>
  </si>
  <si>
    <t>GEF</t>
  </si>
  <si>
    <t>sub-total GEF</t>
  </si>
  <si>
    <t>Total Outcome 1</t>
  </si>
  <si>
    <t>International Consultants</t>
  </si>
  <si>
    <t>Contractual services - Companies</t>
  </si>
  <si>
    <t>Total Outcome 2</t>
  </si>
  <si>
    <t>Training, workshop, conference</t>
  </si>
  <si>
    <t>PROJECT TOTAL</t>
  </si>
  <si>
    <t>10 days field work/data collection, etc. for national consultant</t>
  </si>
  <si>
    <t>Provision for various events/trainings, etc.</t>
  </si>
  <si>
    <t>For dissemimnation of market intelligence</t>
  </si>
  <si>
    <t>Output Total (GEF &amp; UNDP)</t>
  </si>
  <si>
    <t>sub-total UNDP</t>
  </si>
  <si>
    <t>International expert recruited for about 14 days to suppport training of target stakeholders</t>
  </si>
  <si>
    <t>Local expert to support elaboration and capacity-buidling in collaboration with an international expert.</t>
  </si>
  <si>
    <t>Procurement of minigrid and related goods and  services for the two pilot projects</t>
  </si>
  <si>
    <t>This will cover office supplies for the association, i.e. furnitures, etc.</t>
  </si>
  <si>
    <t>This will cover printing of brochures, business cards and etc.</t>
  </si>
  <si>
    <t>A firm will be hired to develop/design communication collaterals for the association such as  website, deck, etc.</t>
  </si>
  <si>
    <t>This covers venue, breaks, etc. fees paid to attend conferences, etc. as well as possible registration fees to attend workshops</t>
  </si>
  <si>
    <t>2 computers, 1 printers, etc. for the office</t>
  </si>
  <si>
    <t>To cover initiatial support for industry association in terms book-keeping, audit for 2 years@$2K per year</t>
  </si>
  <si>
    <t>Local consultant to support international expert</t>
  </si>
  <si>
    <t>A firm is recruited to capture and support dissemination of lessons learned</t>
  </si>
  <si>
    <t xml:space="preserve">Videos and briefs are produced and diisseminated </t>
  </si>
  <si>
    <t>Local trravel for data collection during field visits</t>
  </si>
  <si>
    <t>Vehicle at $52K + 2 motorcycles at $1500 for project coordination/monitoring</t>
  </si>
  <si>
    <t>This will cover purchase of 5 computers + printer +scanner</t>
  </si>
  <si>
    <t>A Digital Strategy is developed and implemented, including linkages to and following guidance from the AMP Regional Project</t>
  </si>
  <si>
    <t xml:space="preserve">M&amp;E and Reporting, including (i) Conducting inception workshop and preparing report, (ii) Ongoing M&amp;E, (iii) Mid Term Evaluation and (iv) Terminal Evaluation </t>
  </si>
  <si>
    <t xml:space="preserve">Engage with regional project, including, but not limited to, via (i) participating in Communities of Practice and (ii) capturing and sharing lessons learnt </t>
  </si>
  <si>
    <t>4.4</t>
  </si>
  <si>
    <t>4.3</t>
  </si>
  <si>
    <t>4.8</t>
  </si>
  <si>
    <t xml:space="preserve"> Consultant /firm recruited to support establishment and development of  of CoP in Burkina Faso</t>
  </si>
  <si>
    <t>2 Workshops on data strategy will be held at together with trainings on the digital strategy, as these two outputs go hand in hand.</t>
  </si>
  <si>
    <t>Cost to be applied towards training on using the QAF in coordination of output 2.1 for pilot projects. Training should be strealined with those in component 2, especially around pilot projects.</t>
  </si>
  <si>
    <t>Capacity-building on the digital strategy will be held back-to-back with the training on data strategy in first year of the project and also some trainings under 2.1 in regards to tenders and procurement, and use of the digital platform/tool. This is for optimizing budget and also ensuring linkages between these outputs</t>
  </si>
  <si>
    <t xml:space="preserve">Training in innovative business models, entrepreneurship, installations, financial literacy for women. Also, issues of IPP and climate change will be covered under these trainings. </t>
  </si>
  <si>
    <t xml:space="preserve">An inclusive national dialogue to identify minigrid delivery models is facilitated, clarifying priority interventions for an integrated approach to off-grid electrification </t>
  </si>
  <si>
    <t>This be used to cover costs such as translation services of the insight brief into English or other languages (if applicable/needed, visa fees, etc.</t>
  </si>
  <si>
    <t>This will cover audit for 4 years@$5K per year ($4k to GEF and $1k poer year to UNDP Trac)</t>
  </si>
  <si>
    <t>Total Outcome 3</t>
  </si>
  <si>
    <t>Total Outcome 4</t>
  </si>
  <si>
    <t>Translation for MTR, TE and other documents/reports from M&amp;E and coordination</t>
  </si>
  <si>
    <t>component 4</t>
  </si>
  <si>
    <t>component 3</t>
  </si>
  <si>
    <t>component 2</t>
  </si>
  <si>
    <t>component 1</t>
  </si>
  <si>
    <t>1 consultant recruited for 10 days to draft a replication and scaled-up plan</t>
  </si>
  <si>
    <t>This will cover venues and related cost for for capacity- building trainings of multi-stakeholders' platform on various themes such as e-waste, tax-exemption, fundraising, delivery models, innovative minigrid technologies,  etc. This line item will also cover participation of members of the Platform in workshops, when necessary (@$1,500/year)</t>
  </si>
  <si>
    <r>
      <t>$300 per meeting x 20</t>
    </r>
    <r>
      <rPr>
        <sz val="12"/>
        <color theme="1"/>
        <rFont val="Calibri (Body)"/>
      </rPr>
      <t xml:space="preserve"> meetings</t>
    </r>
    <r>
      <rPr>
        <sz val="12"/>
        <color theme="1"/>
        <rFont val="Calibri"/>
        <family val="2"/>
        <scheme val="minor"/>
      </rPr>
      <t xml:space="preserve"> over 4 years</t>
    </r>
  </si>
  <si>
    <t>Includes:
- DSA for local travel for each meeting (@$200/meeting for 20 meetings, 5 in each year);
- DSA for 2 people for 5 days @$281/day from the Senegalese platform in 2 trips (3 days + 2 days in Y1);
- 2 return tickets (Dakar - Ouagadougou) for 2 people from the Senegalese Platform (@$800/flight) in Y1</t>
  </si>
  <si>
    <t>2 consultants paid @ $700 / day for 7 days</t>
  </si>
  <si>
    <t>This covers contracting of 1 senior international consultant for 12 days (@ $700/day) with expertise in minigrid delivery models in Y1.</t>
  </si>
  <si>
    <t>A local technical expert will be contracted for 20 days to support the international consultant in drafting a minigrid delivery strategy (@$300/day) in Y1.</t>
  </si>
  <si>
    <t>This covers venue and related costs for 2 workshops (inception and dissemination) in Y1 during the minigrid strategy development (@$2,500 per workshop)</t>
  </si>
  <si>
    <t>An international expert on quality standards for minigrids will be recruited for 20 days (@ $700/day), including 5 days in Y1 and 15 days in Y2 to support development of quality standards and institutional capacity-building.</t>
  </si>
  <si>
    <t>A national consultant will be recruited to suppport the international expert. This is planned to cover 20 days level of effort (@ $300/day), including 5 days in Y1 and 15 days in Y2.</t>
  </si>
  <si>
    <t>This covers 3 trainings @2,500/training, including 1 training and Y1 and 2 trainings in Y2.</t>
  </si>
  <si>
    <t xml:space="preserve">Communication costs at $1,000 in Y2. </t>
  </si>
  <si>
    <t xml:space="preserve">Covers equipement and material for the testing laboratory (bought in Y1), for $5,000 in total. </t>
  </si>
  <si>
    <t>This covers:
- DSA for the international consultant for the 3 trainings (4 days in Y1 and 12 days in Y2) @$281/day;
- Local travel for participants to the 3 trainings: 30 participants per training @$20/participant/training, with 1 training in Y1 and 2 trainings in Y2;
- 3 return tickets for the international consultant @ $2,000/ticket (1 in Y1 and 2 in Y2).</t>
  </si>
  <si>
    <t>This covers 3 computers and other IT equipment for the testing laboratory (bought in Y1), for a total of $8,000.</t>
  </si>
  <si>
    <t>An international expert will be recruited for 10 days (@ $700/day), including 5 days in Y1 and 5 days in Y2 to support the operatinalization of the certification scheme.</t>
  </si>
  <si>
    <t>A local consultant will be recruited for 10 days (@ $300/day), including 5 days in Y1 and 5 days in Y2 to support the international consultant.</t>
  </si>
  <si>
    <t>This covers:
- DSA for the international consultant for 2 trainings (4 days in Y1 and 4 days in Y2) @$281/day;
- Local travel for participants to the 2 trainings: 30 participants per training @$20/participant/training, with 1 training in Y1 and 1 training in Y2;
- 2 return tickets for the international consultant @ $2,000/ticket (1 in Y1 and 1 in Y2).</t>
  </si>
  <si>
    <t>This covers 2 trainings @2,500/training, including 1 training and Y1 and 1 training in Y2.</t>
  </si>
  <si>
    <t>Covers equipement and material for the trainings, $4,000 in Y1 and $4,000 in Y2.</t>
  </si>
  <si>
    <t xml:space="preserve">An international consultant @$700/day will be recruited for 10 days in Y4 to conduct the lightweight DREI analysis. </t>
  </si>
  <si>
    <t>Communication and translation costs for $3,000 in Y4.</t>
  </si>
  <si>
    <t xml:space="preserve">A national consultant @ $300/day will be recruited for 10 days in Y4 to support the lightweight DREI analysis. </t>
  </si>
  <si>
    <t>An international consultant will support the industry association in terms of best-practices, membership growth, bylaws, etc. 12 days @ $700/day</t>
  </si>
  <si>
    <t>This covers:
- DSAs for 4 people for 5 days @ $281/day;
- 4 return tickets: 1 for the international consultant @ $2,000/ticket, and 3 for the members of the association @ $1,500/ticket</t>
  </si>
  <si>
    <t>Capacity building provided to minigrid developers and investors on measuring and reporting on impact indicators, building credibility in impact investment as an asset class</t>
  </si>
  <si>
    <t xml:space="preserve">Feasibility study support provided to minigrid developers, creating a pipeline of investible assets
</t>
  </si>
  <si>
    <t>Support the development and implementation of innovative financial instruments for both supply and demand side (consumers and service providers) to facilitate investment in and viability of minigrids</t>
  </si>
  <si>
    <t>3 capacity-building consulting contracts@$5k</t>
  </si>
  <si>
    <t>This covers:
- DSAs for the international consultant for 12 days @ $281/day
- 3 return tickets @ $1,500/ticket
- Local travel for participants to the 3 trainings: 30 participants per training @$20/participant/training;</t>
  </si>
  <si>
    <t>3 trainings@$2500 per, including venue, meals and per-diem</t>
  </si>
  <si>
    <t xml:space="preserve">Contractual services for market assessment exercises. </t>
  </si>
  <si>
    <t>Contractual services for identification of instruments; design of fund operational structure; fundraising for the financial instrument</t>
  </si>
  <si>
    <t>Contractual services for the feasibility study</t>
  </si>
  <si>
    <t>For dissemimnation of studies</t>
  </si>
  <si>
    <t>To cover venues, food, etc. for 2 trainings at @ $2,500/training</t>
  </si>
  <si>
    <t>Contractual services for the development of the impact framework</t>
  </si>
  <si>
    <t>Consultant recruited 10 days@$700 to develop digital strategy</t>
  </si>
  <si>
    <t>This covers:
- DSAs for the international consultant for 5 days @ $281/day
- 1 return ticket @ $1,500/ticket
- Local travel for participants to the training: 30 participants per training @$20/participant/training;</t>
  </si>
  <si>
    <t>Minigrids Digital Platform implemented to run tenders and manage data from pilots, and to support minigrids scale-up and cost-reduction</t>
  </si>
  <si>
    <t>Contractual services for the development of the digital platform, including training of local stakeholders</t>
  </si>
  <si>
    <t>Consultant recruited 10 days@$700 to develop QAMF</t>
  </si>
  <si>
    <t>2x35K for lead consultant for MTR and TE</t>
  </si>
  <si>
    <t>2x15K for national consultant for MTR and TE</t>
  </si>
  <si>
    <t>This covers:
- DSAs for 6 participants for 4 days @ $281/day
- 6 return ticket @ $1,500/ticket</t>
  </si>
  <si>
    <t xml:space="preserve">Knowledge networks / Communities of Practice / industry associations strengthened to promote minigrids development </t>
  </si>
  <si>
    <t>This covers:
- Local travel for participants to the training: 30 participants per training @$20/participant/training;</t>
  </si>
  <si>
    <t>Source of funds</t>
  </si>
  <si>
    <t>GEF Grant</t>
  </si>
  <si>
    <t>UNDP Cash Co-financing</t>
  </si>
  <si>
    <t>TOTAL PROJECT BUDGET</t>
  </si>
  <si>
    <t>Max GEF PMC allowed</t>
  </si>
  <si>
    <t>Max GEF Supplies and Miscellaneous</t>
  </si>
  <si>
    <t>Max GEF M&amp;E</t>
  </si>
  <si>
    <t>10% of GEF grant (PMC= Grant - (Grant/1.10))</t>
  </si>
  <si>
    <t>Less than 5% of GEF grant</t>
  </si>
  <si>
    <t>Less than 2.6% of GEF grant</t>
  </si>
  <si>
    <t>Atlas Implementing Agent (Responsible Party , IP or UNDP)</t>
  </si>
  <si>
    <t>COMPONENT 1: Policy and Regulation</t>
  </si>
  <si>
    <t>ABER and ECREEE and DGER (RPs)</t>
  </si>
  <si>
    <t>Training, workshop, conferences</t>
  </si>
  <si>
    <t>COMPONENT 2: Project and Business Model Innovation with Private Sector Engagement</t>
  </si>
  <si>
    <t>COMPONENT 3: Innovative financing</t>
  </si>
  <si>
    <t>ABER and UNCDF (RP)</t>
  </si>
  <si>
    <t>COMPONENT 4: Digital, Knowledge Management and Monitoring and Evaluation</t>
  </si>
  <si>
    <t>PROJECT MANAGEMENT</t>
  </si>
  <si>
    <t>Total Project Management</t>
  </si>
  <si>
    <t>SUB-TOTAL GEF</t>
  </si>
  <si>
    <t>SUB-TOTAL UNDP</t>
  </si>
  <si>
    <r>
      <t>Monitoring and Evaluation Plan and Budget</t>
    </r>
    <r>
      <rPr>
        <b/>
        <sz val="9"/>
        <color rgb="FF000000"/>
        <rFont val="Calibri"/>
        <family val="2"/>
      </rPr>
      <t xml:space="preserve">: </t>
    </r>
  </si>
  <si>
    <t>This M&amp;E plan and budget provides a breakdown of costs for M&amp;E activities to be led by the Project Management Unit during project implementation. These costs are included in Component 4 of the Results Framework and TBWP. For ease of reporting M&amp;E costs, please include all costs reported in the M&amp;E plan under the one technical component. The oversight and participation of the UNDP Country Office/Regional technical advisors/HQ Units are not included as these are covered by the GEF Fee.</t>
  </si>
  <si>
    <t>GEF M&amp;E requirements</t>
  </si>
  <si>
    <t>Indicative costs (US$)</t>
  </si>
  <si>
    <t>Time frame</t>
  </si>
  <si>
    <t xml:space="preserve">Inception Workshop </t>
  </si>
  <si>
    <t>Within 60 days of CEO endorsement of this project.</t>
  </si>
  <si>
    <t>Inception Report</t>
  </si>
  <si>
    <t>None</t>
  </si>
  <si>
    <t>Within 90 days of CEO endorsement of this project.</t>
  </si>
  <si>
    <t xml:space="preserve">M&amp;E of GEF core indicators and project results framework </t>
  </si>
  <si>
    <t>Annually before the GEF PIR and at mid-point and closure. This result framework will include GEF core indicators.</t>
  </si>
  <si>
    <t xml:space="preserve">GEF Project Implementation Report (PIR) </t>
  </si>
  <si>
    <t>Annually typically between June-August</t>
  </si>
  <si>
    <t>Monitoring of stakeholders engagement plan; gender action plan and individual peoples’ plan</t>
  </si>
  <si>
    <t>Throughout the project</t>
  </si>
  <si>
    <t>Supervision missions</t>
  </si>
  <si>
    <t>Annually</t>
  </si>
  <si>
    <t xml:space="preserve">Independent Mid-term Review (MTR) </t>
  </si>
  <si>
    <t xml:space="preserve">Independent Terminal Evaluation (TE) </t>
  </si>
  <si>
    <t>TOTAL indicative COST*</t>
  </si>
  <si>
    <t>Add to TBWP component 4</t>
  </si>
  <si>
    <t>This covers:
- Local travel for M&amp;E @ $5,000/year</t>
  </si>
  <si>
    <t>BUDGET:</t>
  </si>
  <si>
    <t>GEF (US$)</t>
  </si>
  <si>
    <t>UNDP (US$)</t>
  </si>
  <si>
    <t>Inception workshop $4,000</t>
  </si>
  <si>
    <t>$3,500 per year for 4 years</t>
  </si>
  <si>
    <t>$2,000 per year for 3 years</t>
  </si>
  <si>
    <t>These both cells are included in Output 4.4. under budget line "Travel"</t>
  </si>
  <si>
    <t>Subtotal Y1</t>
  </si>
  <si>
    <t>Subtotal Y2</t>
  </si>
  <si>
    <t>Subtotal Y3</t>
  </si>
  <si>
    <t>Subtotal Y4</t>
  </si>
  <si>
    <t>GRAND TOTAL</t>
  </si>
  <si>
    <t>C2 - TA</t>
  </si>
  <si>
    <t>C2 - INV</t>
  </si>
  <si>
    <t>C2 - TOTAL</t>
  </si>
  <si>
    <t>C1</t>
  </si>
  <si>
    <t>C2</t>
  </si>
  <si>
    <t>C3</t>
  </si>
  <si>
    <t>C4</t>
  </si>
  <si>
    <t>PM</t>
  </si>
  <si>
    <t>UNDP (cash)</t>
  </si>
  <si>
    <t>Subtotal (GEF+UNDP)</t>
  </si>
  <si>
    <t>%age grant</t>
  </si>
  <si>
    <t>UNDP (grant)</t>
  </si>
  <si>
    <t xml:space="preserve">ABER (grant) </t>
  </si>
  <si>
    <t xml:space="preserve">ABER (loan) </t>
  </si>
  <si>
    <t xml:space="preserve">AfDB (grant) </t>
  </si>
  <si>
    <t xml:space="preserve">AfDB (loan) </t>
  </si>
  <si>
    <t xml:space="preserve">ECREEE (in-kind) </t>
  </si>
  <si>
    <t xml:space="preserve">SIDA (grant) </t>
  </si>
  <si>
    <t xml:space="preserve">UNCDF (grant) </t>
  </si>
  <si>
    <t xml:space="preserve">TOTAL Cofi </t>
  </si>
  <si>
    <t>Total Cofi + UNDP cash</t>
  </si>
  <si>
    <t>Total Cofi + UNDP cash + GEF</t>
  </si>
  <si>
    <t>UNDP (grant) - %</t>
  </si>
  <si>
    <t>ABER (grant) - %</t>
  </si>
  <si>
    <t>ABER (loan) - %</t>
  </si>
  <si>
    <t>AfDB (grant) - %</t>
  </si>
  <si>
    <t>AfDB (loan) - %</t>
  </si>
  <si>
    <t>ECREEE (in-kind) - %</t>
  </si>
  <si>
    <t>SIDA (grant) - %</t>
  </si>
  <si>
    <t>UNCDF (grant) - %</t>
  </si>
  <si>
    <t>Année 4 : USD 99,688</t>
  </si>
  <si>
    <t>As follow: Y1= USD 120,68; Y2=USD 280,536; Y3=USD 299,088; Y4=USD 99,688</t>
  </si>
  <si>
    <t>$6,312/year for safeguards and gender consultants.</t>
  </si>
  <si>
    <t xml:space="preserve">PMU: FT Project Manager @ $1710 for 48 months; driver @ $338 for 48 months </t>
  </si>
  <si>
    <r>
      <t xml:space="preserve">PMU: </t>
    </r>
    <r>
      <rPr>
        <sz val="12"/>
        <color theme="1"/>
        <rFont val="Calibri (Body)"/>
      </rPr>
      <t>Admin &amp; Finance Exper</t>
    </r>
    <r>
      <rPr>
        <sz val="12"/>
        <color theme="1"/>
        <rFont val="Calibri"/>
        <family val="2"/>
        <scheme val="minor"/>
      </rPr>
      <t>t @$1383 for 48 months</t>
    </r>
  </si>
  <si>
    <t>This covers (all in Y1):
- 4 days DSA for international consultant ($281*4);
- 1 international return ticket for international consultant (@$1,500 per return ticket). The international consultant will attend the inception workshop virtually and the dissemination workshop on site. 
- Local travel for local consultant and stakeholders ($20*70).</t>
  </si>
  <si>
    <t xml:space="preserve">Sub-contract to international firm/manufacturer to provide O&amp;M @ $6,506 for Y2 then $3,297/year for Y3, Y4;
</t>
  </si>
  <si>
    <t>Includes:
- For Output 1.4: This covers 3 computers and other IT equipment for the testing laboratory (bought in Y1), for a total of $8,000.</t>
  </si>
  <si>
    <t>Includes:
- For Output 1.5: Covers equipement and material for the trainings, $4,000 in Y1 and $4,000 in Y2.</t>
  </si>
  <si>
    <t xml:space="preserve">Includes:
- For Output 1.2: This covers contracting of 1 senior international consultant for 12 days (@ $700/day) with expertise in minigrid delivery models in Y1.
- For Output 1.4: An international expert on quality standards for minigrids will be recruited for 20 days (@ $700/day), including 5 days in Y1 and 15 days in Y2 to support development of quality standards and institutional capacity-building.
- For Output 1.5: An international expert will be recruited for 10 days (@ $700/day), including 5 days in Y1 and 5 days in Y2 to support the operatinalization of the certification scheme.
- For Output 1.6: An international consultant @$700/day will be recruited for 10 days in Y4 to conduct the lightweight DREI analysis. </t>
  </si>
  <si>
    <t>Includes:
- For Output 1.4: Communication costs at $1,000 in Y2. 
- For Output 1.6: Communication and translation costs for $3,000 in Y4.</t>
  </si>
  <si>
    <t>Includes:
- For Output 2.1: Sub-contract to international firm/manufacturer to provide O&amp;M @ $6,506 for Y2 then $3,297/year for Y3, Y4.</t>
  </si>
  <si>
    <t>Includes:
- For Output 2.1: Procurement of minigrid and related goods and  services for the two pilot projects.</t>
  </si>
  <si>
    <t>Includes:
- For Output 3.1: This covers: DSAs for the international consultant for 12 days @ $281/day; 3 return tickets @ $1,500/ticket; Local travel for participants to the 3 trainings: 30 participants per training @$20/participant/training.</t>
  </si>
  <si>
    <t>Includes:
- For Output 3.3: Contractual services for identification of instruments; design of fund operational structure; fundraising for the financial instrument @ $20,000 in Y3.
- For Output 3.5: Contractual services for the development of the impact framework @ $20,000 in Y4.</t>
  </si>
  <si>
    <t>Includes:
- For Output 4.1: Capacity-building on the digital strategy will be held back-to-back with the training on data strategy in first year of the project and also some trainings under 2.1 in regards to tenders and procurement, and use of the digital platform/tool. This is for optimizing budget and also ensuring linkages between these outputs @ $2,500 in Y1.
- For Output 4.3: Cost to be applied towards training on using the QAF in coordination of output 2.1 for pilot projects. Training should be strealined with those in component 2, especially around pilot projects @ $2,500 for Y1.</t>
  </si>
  <si>
    <t>Includes:
- For Output 4.4: 2x35K for lead consultant for MTR and TE in Y2 and Y4.</t>
  </si>
  <si>
    <t>Includes:
- For Output 4.4: This covers local travel for M&amp;E @ $5,000/year</t>
  </si>
  <si>
    <t>Includes:
- For Output 4.4: Vehicle at $52K + 2 motorcycles at $1500 for project coordination/monitoring in Y1.</t>
  </si>
  <si>
    <t>Includes:
- For Output 4.4: Translation for MTR, TE and other documents/reports from M&amp;E and coordination @ $5,000 in Y2 and $5,000 in Y4.</t>
  </si>
  <si>
    <t>Includes:
- For Output 4.3: Local consultant to support international expert @ $300/day for 10 days in Y1.
- For Output 4.6: Local consultant @ $1,500 in Y2 and $1,500 in Y3.</t>
  </si>
  <si>
    <t>Includes:
- For Output 4.2: 2 Workshops on data strategy will be held at together with trainings on the digital strategy, as these two outputs go hand in hand @ $2,500 in Y2.
- For Output 4.4: Inception workshop $4,000 in Y1.
- For Output 4.6: Provision for various events/trainings, etc. @ $2,500 in Y2 and $2,500 in Y3.</t>
  </si>
  <si>
    <t>Includes:
- For Output 4.2: Contractual services for the development of the digital platform, including training of local stakeholders @ $45,000 in Y1 and $10,000 in Y2.
- For Output 4.5: Hiring in year 2-4 of a consultant or local firm to gather data and audio-visual content (video footage, photos, etc.) on the national project subject of choice for the ‘insight brief @ $5,000 in Y2 and $5,000 in Y4.
- For Output 4.6: Consultant /firm recruited to support establishment and development of  of CoP in Burkina Faso @ $3,500 in Y2 and $3,500 in Y3.
- For Output 4.7: A firm is recruited to capture and support dissemination of lessons learned @ $5,000 in Y4.</t>
  </si>
  <si>
    <t>Includes:
- For Output 4.5: This will be used to cover costs such as translation services of the insight brief into English or other languages (if applicable/needed, visa fees, etc. @ $2,500 in Y2 and $2,500 in Y4.
- For Output 4.7: Videos and briefs are produced and diisseminated  @ $3,000 in Y4.</t>
  </si>
  <si>
    <t>Miscellaneous expenses for the PMU.</t>
  </si>
  <si>
    <t>This will cover purchase of 5 computers + printer + scanner.</t>
  </si>
  <si>
    <t>PMU staff: Admin &amp; Finance Expert @$1,383 for 48 months.</t>
  </si>
  <si>
    <t>PMU staff: Full Time Project Manager @ $1,710 for 48 months; driver @ $338 for 48 months.</t>
  </si>
  <si>
    <t>This will cover audit for 4 years@$4,000 per year.</t>
  </si>
  <si>
    <t>Budget Note</t>
  </si>
  <si>
    <t>Amount</t>
  </si>
  <si>
    <t>Total</t>
  </si>
  <si>
    <t>Year 1 (USD)</t>
  </si>
  <si>
    <t>Year 2 (USD)</t>
  </si>
  <si>
    <t>Year 3 (USD)</t>
  </si>
  <si>
    <t>Year 4 (USD)</t>
  </si>
  <si>
    <t>(USD)</t>
  </si>
  <si>
    <t xml:space="preserve">GEF grant administered by UNDP </t>
  </si>
  <si>
    <t>Grant (cash) co-finance by GEF Agency: UNDP</t>
  </si>
  <si>
    <t>Rural Electrification Agency ABER (grant)</t>
  </si>
  <si>
    <t>Rural Electrification Agency ABER (loan)</t>
  </si>
  <si>
    <t>African Development Bank (grant)</t>
  </si>
  <si>
    <t>African Development Bank (loan)</t>
  </si>
  <si>
    <t>ECREEE (in-kind)</t>
  </si>
  <si>
    <t>SIDA (grant)</t>
  </si>
  <si>
    <t>UNCDF (grant)</t>
  </si>
  <si>
    <t>International consultant will be recruited for 20 days (8 days in Y1, 8 days in Y2, 4 days in Y3), so 3 trainings in total, to provide capacity-building trainings to targeted public sector stakeholders involved in minigrid promotion such as regulator, agencies, etc. (@ $700/day)</t>
  </si>
  <si>
    <t>A local consultant will be recruited for 20 days (8 days in Y1, 8 days in Y2, 4 days in Y3) to support the international expert in providing capacity-building trainings (@$300/day)</t>
  </si>
  <si>
    <t>This covers:
- DSA for the international consultant for the 3 trainings (9 days in Y1, 9 days in Y2, 5 days in Y3) @ $281/day;
- Local travel for participants to the 3 trainings: 30 participants per training @$20/participant/training;
- 3 return tickets for the international consultant @ $1,500/ticket (1 in each of Y1, Y2, Y3)</t>
  </si>
  <si>
    <t>For procurement of tools necessary for increasing capacity of target stakeholders (@ $1,000 per year in Y1, Y2, Y3)</t>
  </si>
  <si>
    <t>Supplies related to trainings and building technical capacities of target institutional actors (@ $1,000 per year in Y1, Y2, Y3)</t>
  </si>
  <si>
    <t>To cover venue and related cost for the 3 trainings @ $2,500 per training in Y1 and Y2, and $2,000 in Y3.</t>
  </si>
  <si>
    <t>This include:
- $12K for a legal consultant to support the tender and contracting process for the pilot projects in Y1;
- $7,020 for a safeguards consultant in Y1.</t>
  </si>
  <si>
    <t>This covers:
- DSA for the international consultant for the 2 trainings (5 days in Y1, 5 days in Y2) @ $281/day;
- Local travel for participants to the 2 trainings: 30 participants per training @$20/participant/training;
- 2 return tickets for the international consultant @ $2,000/ticket (1 in each of Y1, Y2)</t>
  </si>
  <si>
    <t>Part-time HR to provide admin services to the Association and also adhoc consulting needs (12 days @ $300/day for Y1 and Y2)</t>
  </si>
  <si>
    <t xml:space="preserve">Includes:
- For Output 1.1: $300 per meeting x 20 meetings of the multi-stakeholder platform over 4 years.
- For Output 1.2: A local technical expert will be contracted for 20 days to support the international consultant in drafting a minigrid delivery strategy (@$300/day) in Y1.
- For Output 1.3: A local consultant will be recruited for 20 days (8 days in Y1, 8 days in Y2, 4 days in Y3) to support the international expert in providing capacity-building trainings (@$300/day).
- For Output 1.4: A national consultant will be recruited to suppport the international expert. This is planned to cover 20 days level of effort (@ $300/day), including 5 days in Y1 and 15 days in Y2.
- For Output 1.5: A local consultant will be recruited for 10 days (@ $300/day), including 5 days in Y1 and 5 days in Y2 to support the international consultant.
- For Output 1.6: A national consultant @ $300/day will be recruited for 10 days in Y4 to support the lightweight DREI analysis. </t>
  </si>
  <si>
    <t xml:space="preserve">Includes:
- For Output 1.3: For procurement of tools necessary for increasing capacity of target stakeholders (@ $1,000 per year in Y1, Y2, Y3).
- For Output 1.4: Covers equipement and material for the testing laboratory (bought in Y1), for $5,000 in total. </t>
  </si>
  <si>
    <t>Includes:
- For Output 1.3: Supplies related to trainings and building technical capacities of target institutional actors (@ $1,000 per year in Y1, Y2, Y3).</t>
  </si>
  <si>
    <t>Includes:
- For Output 1.1: This will cover venues and related cost for for capacity- building trainings of multi-stakeholders' platform on various themes such as e-waste, tax-exemption, fundraising, delivery models, innovative minigrid technologies,  etc. This line item will also cover participation of members of the Platform in workshops, when necessary (@$1,500/year).
- For Output 1.2: This covers venue and related costs for 2 workshops (inception and dissemination) in Y1 during the minigrid strategy development (@$2,500 per workshop).
- For Output 1.3: To cover venue and related cost for the 3 trainings @ $2,500 per training in Y1 and Y2, and $2,000 in Y3.
- For Output 1.4: This covers 3 trainings @2,500/training, including 1 training and Y1 and 2 trainings in Y2.
- For Output 1.5: This covers 2 trainings @2,500/training, including 1 training and Y1 and 1 training in Y2.</t>
  </si>
  <si>
    <t>Includes:
- For Output 2.1: This include: $12K for a legal consultant to support the tender and contracting process for the pilot projects in Y1; $7,020 for a safeguards consultant in Y1.</t>
  </si>
  <si>
    <t>Includes:
- For Output 2.2: This covers DSA for the international consultant for the 2 trainings (5 days in Y1, 5 days in Y2) @ $281/day; Local travel for participants to the 2 trainings: 30 participants per training @$20/participant/training; 2 return tickets for the international consultant @ $2,000/ticket (1 in each of Y1, Y2).
- For Output 2.3: This covers DSAs for 4 people for 5 days @ $281/day; 4 return tickets: 1 for the international consultant @ $2,000/ticket, and 3 for the members of the association @ $1,500/ticket.</t>
  </si>
  <si>
    <t>Includes:
- For Output 2.3: 2 computers, 1 printers, etc. for the office @ $2,500 in Y1.</t>
  </si>
  <si>
    <t>Includes:
- For Output 2.3: This will cover printing of brochures, business cards and etc. @ $1,500 in Y1.</t>
  </si>
  <si>
    <t>Includes:
- For Output 2.1: Training in innovative business models, entrepreneurship, installations, financial literacy for women. Also, issues of IPP and climate change will be covered under these trainings. 
- For Output 2.2: This covers 2 trainings @2,500/training, including 1 training and Y1 and 1 training in Y2.
- For Output 2.3: This covers venue, breaks, etc. fees paid to attend conferences, etc. as well as possible registration fees to attend workshops @ $2,500 in Y1 and $2,500 in Y2.</t>
  </si>
  <si>
    <t>Includes:
- For Output 2.3: To cover initiatial support for industry association in terms book-keeping, audit for 2 years@$2K per year for Y1 and Y2.</t>
  </si>
  <si>
    <t>Includes:
- For Output 2.3: A firm will be hired to develop/design communication collaterals for the association such as  website, deck, etc.@ $2,000 in Y1 and $2,000 in Y2.</t>
  </si>
  <si>
    <t>Includes:
- For Output 3.1: 3 capacity-building consulting contracts@$5,000 each for Y1, Y2, Y3.
- For Output 3.2: Contractual services for market assessment exercises @ $30,000 in Y1.
- For Output 3.3: Contractual services for identification of instruments; design of fund operational structure; fundraising for the financial instrument @ $30,000 in Y3.
- For Output 3.4: Contractual services for the feasibility study @ $20,000 in Y2 and $20,000 in Y3.
- For Output 3.5: Contractual services for the development of the impact framework @ $15,000 in Y3.</t>
  </si>
  <si>
    <t>Includes:
- For Output 3.2: For dissemimnation of market intelligence @ $3,000 in Y1.
- For Output 3.4: For dissemimnation of studies @ $3,000 in Y3.
- For Output 3.5: For dissemimnation of studies @ $3,000 in Y4.</t>
  </si>
  <si>
    <t>Includes:
- For Output 3.1: 3 trainings@$2,500 per, including venue, meals and per-diem in Y1, Y2, Y3.
- For Output 3.4: To cover venues, food, etc. for 2 trainings at @ $2,500/training in Y2 and Y3.
- For Output 3.5: To cover venues, food, etc. for 2 trainings at @ $2,500/training in Y3 and Y4.</t>
  </si>
  <si>
    <t>Subtotal C1-C4</t>
  </si>
  <si>
    <t>Includes:
- For Output 1.1: DSA for local travel for each meeting (@$200/meeting for 20 meetings, 5 in each year); DSA for 2 people for 5 days @$281/day from the Senegalese platform in 2 trips (3 days + 2 days in Y1); 2 return tickets (Dakar - Ouagadougou) for 2 people from the Senegalese Platform (@$800/flight) in Y1.
- For Output 1.2: This covers (all in Y1): 4 days DSA for international consultant ($281*4); 1 international return ticket for international consultant (@$1,500 per return ticket). The international consultant will attend the inception workshop virtually and the dissemination workshop on site. Local travel for local consultant and stakeholders ($20*70).
- For Output 1.3: This covers DSA for the international consultant for the 3 trainings (9 days in Y1, 9 days in Y2, 5 days in Y3) @ $281/day; Local travel for participants to the 3 trainings: 30 participants per training @$20/participant/training; 3 return tickets for the international consultant @ $1,500/ticket (1 in each of Y1, Y2, Y3).
- For Output 1.4: This covers DSA for the international consultant for the 3 trainings (4 days in Y1 and 12 days in Y2) @$281/day; Local travel for participants to the 3 trainings: 30 participants per training @$20/participant/training, with 1 training in Y1 and 2 trainings in Y2; 3 return tickets for the international consultant @ $1,500/ticket (1 in Y1 and 2 in Y2).
- For Output 1.5: This covers DSA for the international consultant for 2 trainings (4 days in Y1 and 4 days in Y2) @$281/day; Local travel for participants to the 2 trainings: 30 participants per training @$20/participant/training, with 1 training in Y1 and 1 training in Y2; 2 return tickets for the international consultant @ $2,000/ticket (1 in Y1 and 1 in Y2).</t>
  </si>
  <si>
    <t>Includes:
- For Output 2.2: Local expert to support elaboration and capacity-buidling in collaboration with an international expert: 10 days in Y1 and 10 days in Y2 @ $300/day..
- For Output 2.3: Part-time HR to provide admin services to the Association and also adhoc consulting needs (12 days @ $300/day for Y1 and Y2 each).</t>
  </si>
  <si>
    <t>Includes:
- For Output 2.1: $6,215 in Y1, $6,312 in Y2, $6,409 in Y3, $6,312 in Y4 for safeguards and gender consultants.
- For Output 2.2: International expert recruited for about 14 days to suppport training of target stakeholders (7 days in Y1 and 7 days in Y2 @ $700/day).
- For Output 2.3: An international consultant will support the industry association in terms of best-practices, membership growth, bylaws, etc. 12 days @ $700/day (6 days in Y1 and 6 days in Y2).</t>
  </si>
  <si>
    <t>Includes:
- For Output 2.1: Procurement of minigrid and related goods and  services for the two pilot projects: $177,622 in Y2 and $222,000 in Y3.
- For Output 2.3: This will cover office supplies for the association, i.e. furnitures, etc. @ $2,000 in Y1</t>
  </si>
  <si>
    <t>Includes:
- For Output 4.1: Local consultant to support international expert @ $300 per day for 10 days in Y1.
- For Output 4.4: $15,000 for national consultant for MTR in Y2 and $15,000 for TE in Y4.
- For Output 4.8: 10 days field work/data collection, etc. for national consultant @ $300/day in Y4.</t>
  </si>
  <si>
    <t>Includes:
- For Output 4.1: Consultant recruited 10 days@$700 to develop digital strategy in Y1.
- For Output 4.3: Consultant recruited 10 days@$700 to develop QAMF in Y1.
- For Output 4.8: 1 consultant recruited for 10 days to draft a replication and scaled-up plan in Y4 @ $300/day.</t>
  </si>
  <si>
    <t>Includes:
- For Output 4.1: This covers DSAs for the international consultant for 5 days @ $281/day; 1 return ticket @ $1,500/ticket; Local travel for participants to the training: 30 participants per training @$20/participant/training.
- For Output 4.3: This covers DSAs for the international consultant for 5 days @ $281/day; 1 return ticket @ $1,500/ticket; Local travel for participants to the training: 30 participants per training @$20/participant/training.
- For Output 4.5: This covers DSAs for 6 participants for 4 days @ $281/day; 6 return ticket @ $1,500/ticket (in Y2)
- For Output 4.6: This covers local travel for participants to the training: 30 participants per training @$20/participant/training in Y1, and the same in Y2.
- For Output 4.8: Local travel for data collection during field visits @ $1,500 in Y4.</t>
  </si>
  <si>
    <t>Miscellaneous expenses for the PMU: $1,113 in Y1 and $174 in Y2.</t>
  </si>
  <si>
    <t>Includes:
- For Output 1.1: 2 consultants paid @ $700 / day for 7 days each to support the national multi-stakeholder platform.
- For Output 1.3: International consultant will be recruited for 20 days (8 days in Y1, 8 days in Y2, 4 days in Y3), so 3 trainings in total, to provide capacity-building trainings to targeted public sector stakeholders involved in minigrid promotion such as regulator, agencies, etc. (@ $700/day).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</si>
</sst>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409]* #,##0.00_ ;_-[$$-409]* \-#,##0.00\ ;_-[$$-409]* &quot;-&quot;??_ ;_-@_ "/>
    <numFmt numFmtId="165" formatCode="_-[$$-409]* #,##0_ ;_-[$$-409]* \-#,##0\ ;_-[$$-409]* &quot;-&quot;_ ;_-@_ "/>
    <numFmt numFmtId="166" formatCode="#,##0.000"/>
    <numFmt numFmtId="167" formatCode="0.000"/>
  </numFmts>
  <fonts count="24">
    <font>
      <sz val="12"/>
      <color theme="1"/>
      <name val="Calibri"/>
      <family val="2"/>
      <scheme val="minor"/>
    </font>
    <font>
      <b/>
      <sz val="12"/>
      <color theme="1"/>
      <name val="Calibri"/>
      <family val="2"/>
      <scheme val="minor"/>
    </font>
    <font>
      <b/>
      <sz val="12"/>
      <name val="Calibri"/>
      <family val="2"/>
      <scheme val="minor"/>
    </font>
    <font>
      <u/>
      <sz val="12"/>
      <color theme="10"/>
      <name val="Calibri"/>
      <family val="2"/>
      <scheme val="minor"/>
    </font>
    <font>
      <u/>
      <sz val="12"/>
      <color theme="11"/>
      <name val="Calibri"/>
      <family val="2"/>
      <scheme val="minor"/>
    </font>
    <font>
      <sz val="14"/>
      <color theme="1"/>
      <name val="Calibri"/>
      <family val="2"/>
      <scheme val="minor"/>
    </font>
    <font>
      <b/>
      <sz val="12"/>
      <color rgb="FF000000"/>
      <name val="Calibri"/>
      <family val="2"/>
      <scheme val="minor"/>
    </font>
    <font>
      <i/>
      <sz val="12"/>
      <color theme="0"/>
      <name val="Calibri"/>
      <family val="2"/>
      <scheme val="minor"/>
    </font>
    <font>
      <b/>
      <sz val="14"/>
      <color theme="0"/>
      <name val="Calibri"/>
      <family val="2"/>
      <scheme val="minor"/>
    </font>
    <font>
      <b/>
      <sz val="12"/>
      <name val="Calibri"/>
      <family val="2"/>
      <scheme val="minor"/>
    </font>
    <font>
      <sz val="8"/>
      <name val="Calibri"/>
      <family val="2"/>
      <scheme val="minor"/>
    </font>
    <font>
      <sz val="10"/>
      <color rgb="FF000000"/>
      <name val="Calibri"/>
      <family val="2"/>
      <scheme val="minor"/>
    </font>
    <font>
      <sz val="12"/>
      <color rgb="FF000000"/>
      <name val="Calibri"/>
      <family val="2"/>
      <scheme val="minor"/>
    </font>
    <font>
      <sz val="9"/>
      <color theme="1"/>
      <name val="Calibri"/>
      <family val="2"/>
    </font>
    <font>
      <sz val="9"/>
      <color rgb="FF000000"/>
      <name val="Calibri"/>
      <family val="2"/>
    </font>
    <font>
      <sz val="10"/>
      <color theme="1"/>
      <name val="Calibri"/>
      <family val="2"/>
      <scheme val="minor"/>
    </font>
    <font>
      <sz val="12"/>
      <name val="Calibri"/>
      <family val="2"/>
      <scheme val="minor"/>
    </font>
    <font>
      <sz val="12"/>
      <color rgb="FFFF0000"/>
      <name val="Calibri"/>
      <family val="2"/>
      <scheme val="minor"/>
    </font>
    <font>
      <sz val="12"/>
      <color theme="1"/>
      <name val="Calibri (Body)"/>
    </font>
    <font>
      <b/>
      <sz val="9"/>
      <color rgb="FF000000"/>
      <name val="Calibri"/>
      <family val="2"/>
    </font>
    <font>
      <b/>
      <sz val="9"/>
      <color theme="1"/>
      <name val="Calibri"/>
      <family val="2"/>
    </font>
    <font>
      <sz val="8"/>
      <color theme="1"/>
      <name val="Calibri"/>
      <family val="2"/>
      <scheme val="minor"/>
    </font>
    <font>
      <sz val="11"/>
      <color rgb="FF000000"/>
      <name val="Calibri"/>
      <family val="2"/>
    </font>
    <font>
      <b/>
      <sz val="10"/>
      <color rgb="FF000000"/>
      <name val="Calibri"/>
      <family val="2"/>
      <scheme val="minor"/>
    </font>
  </fonts>
  <fills count="20">
    <fill>
      <patternFill patternType="none"/>
    </fill>
    <fill>
      <patternFill patternType="gray125"/>
    </fill>
    <fill>
      <patternFill patternType="solid">
        <fgColor theme="6" tint="0.79998168889431442"/>
        <bgColor indexed="64"/>
      </patternFill>
    </fill>
    <fill>
      <patternFill patternType="solid">
        <fgColor theme="6"/>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theme="7" tint="-0.249977111117893"/>
        <bgColor indexed="64"/>
      </patternFill>
    </fill>
    <fill>
      <patternFill patternType="solid">
        <fgColor theme="3" tint="0.39997558519241921"/>
        <bgColor indexed="64"/>
      </patternFill>
    </fill>
    <fill>
      <patternFill patternType="solid">
        <fgColor rgb="FF92D050"/>
        <bgColor indexed="64"/>
      </patternFill>
    </fill>
    <fill>
      <patternFill patternType="solid">
        <fgColor rgb="FFFFFF00"/>
        <bgColor indexed="64"/>
      </patternFill>
    </fill>
    <fill>
      <patternFill patternType="solid">
        <fgColor theme="9" tint="0.59999389629810485"/>
        <bgColor indexed="64"/>
      </patternFill>
    </fill>
    <fill>
      <patternFill patternType="solid">
        <fgColor rgb="FFEDEDED"/>
        <bgColor indexed="64"/>
      </patternFill>
    </fill>
    <fill>
      <patternFill patternType="solid">
        <fgColor rgb="FFE2EFD9"/>
        <bgColor indexed="64"/>
      </patternFill>
    </fill>
    <fill>
      <patternFill patternType="solid">
        <fgColor rgb="FFD9E2F3"/>
        <bgColor indexed="64"/>
      </patternFill>
    </fill>
    <fill>
      <patternFill patternType="solid">
        <fgColor rgb="FFBFBFBF"/>
        <bgColor indexed="64"/>
      </patternFill>
    </fill>
    <fill>
      <patternFill patternType="solid">
        <fgColor rgb="FFE6E6E6"/>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0" tint="-0.14999847407452621"/>
        <bgColor rgb="FF000000"/>
      </patternFill>
    </fill>
    <fill>
      <patternFill patternType="solid">
        <fgColor theme="6" tint="0.59999389629810485"/>
        <bgColor indexed="64"/>
      </patternFill>
    </fill>
  </fills>
  <borders count="7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right style="thin">
        <color auto="1"/>
      </right>
      <top/>
      <bottom style="thin">
        <color auto="1"/>
      </bottom>
      <diagonal/>
    </border>
    <border>
      <left/>
      <right/>
      <top style="thin">
        <color auto="1"/>
      </top>
      <bottom/>
      <diagonal/>
    </border>
    <border>
      <left style="thin">
        <color auto="1"/>
      </left>
      <right/>
      <top/>
      <bottom style="thin">
        <color auto="1"/>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diagonal/>
    </border>
    <border>
      <left style="medium">
        <color rgb="FF000000"/>
      </left>
      <right/>
      <top/>
      <bottom/>
      <diagonal/>
    </border>
    <border>
      <left style="medium">
        <color indexed="64"/>
      </left>
      <right style="medium">
        <color rgb="FF000000"/>
      </right>
      <top/>
      <bottom style="medium">
        <color rgb="FF000000"/>
      </bottom>
      <diagonal/>
    </border>
    <border>
      <left/>
      <right style="medium">
        <color indexed="64"/>
      </right>
      <top/>
      <bottom style="medium">
        <color rgb="FF000000"/>
      </bottom>
      <diagonal/>
    </border>
    <border>
      <left style="medium">
        <color indexed="64"/>
      </left>
      <right style="medium">
        <color rgb="FF000000"/>
      </right>
      <top/>
      <bottom style="medium">
        <color indexed="64"/>
      </bottom>
      <diagonal/>
    </border>
    <border>
      <left/>
      <right style="medium">
        <color indexed="64"/>
      </right>
      <top/>
      <bottom style="medium">
        <color indexed="64"/>
      </bottom>
      <diagonal/>
    </border>
    <border>
      <left/>
      <right style="medium">
        <color rgb="FF000000"/>
      </right>
      <top/>
      <bottom/>
      <diagonal/>
    </border>
    <border>
      <left/>
      <right style="medium">
        <color rgb="FF000000"/>
      </right>
      <top style="medium">
        <color rgb="FF000000"/>
      </top>
      <bottom/>
      <diagonal/>
    </border>
    <border>
      <left/>
      <right/>
      <top/>
      <bottom style="medium">
        <color rgb="FF000000"/>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diagonal/>
    </border>
    <border>
      <left style="medium">
        <color indexed="64"/>
      </left>
      <right style="medium">
        <color indexed="64"/>
      </right>
      <top/>
      <bottom/>
      <diagonal/>
    </border>
    <border>
      <left/>
      <right style="medium">
        <color rgb="FF000000"/>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rgb="FF000000"/>
      </left>
      <right/>
      <top/>
      <bottom style="medium">
        <color rgb="FF000000"/>
      </bottom>
      <diagonal/>
    </border>
    <border>
      <left style="medium">
        <color indexed="64"/>
      </left>
      <right style="medium">
        <color rgb="FF000000"/>
      </right>
      <top style="medium">
        <color indexed="64"/>
      </top>
      <bottom/>
      <diagonal/>
    </border>
    <border>
      <left style="medium">
        <color indexed="64"/>
      </left>
      <right style="medium">
        <color indexed="64"/>
      </right>
      <top/>
      <bottom style="medium">
        <color rgb="FF000000"/>
      </bottom>
      <diagonal/>
    </border>
    <border>
      <left style="medium">
        <color indexed="64"/>
      </left>
      <right style="medium">
        <color rgb="FF000000"/>
      </right>
      <top/>
      <bottom/>
      <diagonal/>
    </border>
    <border>
      <left style="medium">
        <color indexed="64"/>
      </left>
      <right/>
      <top/>
      <bottom/>
      <diagonal/>
    </border>
    <border>
      <left style="medium">
        <color indexed="64"/>
      </left>
      <right/>
      <top/>
      <bottom style="medium">
        <color rgb="FF000000"/>
      </bottom>
      <diagonal/>
    </border>
    <border>
      <left style="medium">
        <color indexed="64"/>
      </left>
      <right/>
      <top style="medium">
        <color rgb="FF000000"/>
      </top>
      <bottom/>
      <diagonal/>
    </border>
    <border>
      <left style="medium">
        <color rgb="FF000000"/>
      </left>
      <right/>
      <top style="medium">
        <color indexed="64"/>
      </top>
      <bottom/>
      <diagonal/>
    </border>
    <border>
      <left style="medium">
        <color indexed="64"/>
      </left>
      <right style="medium">
        <color rgb="FF000000"/>
      </right>
      <top style="medium">
        <color rgb="FF000000"/>
      </top>
      <bottom/>
      <diagonal/>
    </border>
    <border>
      <left style="medium">
        <color indexed="64"/>
      </left>
      <right/>
      <top style="medium">
        <color rgb="FF000000"/>
      </top>
      <bottom style="medium">
        <color indexed="64"/>
      </bottom>
      <diagonal/>
    </border>
    <border>
      <left/>
      <right/>
      <top style="medium">
        <color rgb="FF000000"/>
      </top>
      <bottom style="medium">
        <color indexed="64"/>
      </bottom>
      <diagonal/>
    </border>
    <border>
      <left/>
      <right/>
      <top/>
      <bottom style="medium">
        <color indexed="64"/>
      </bottom>
      <diagonal/>
    </border>
    <border>
      <left/>
      <right style="medium">
        <color rgb="FF000000"/>
      </right>
      <top/>
      <bottom style="medium">
        <color indexed="64"/>
      </bottom>
      <diagonal/>
    </border>
    <border>
      <left/>
      <right/>
      <top/>
      <bottom style="thin">
        <color auto="1"/>
      </bottom>
      <diagonal/>
    </border>
    <border>
      <left/>
      <right style="medium">
        <color rgb="FF000000"/>
      </right>
      <top style="medium">
        <color indexed="64"/>
      </top>
      <bottom style="medium">
        <color rgb="FF000000"/>
      </bottom>
      <diagonal/>
    </border>
    <border>
      <left/>
      <right/>
      <top style="medium">
        <color indexed="64"/>
      </top>
      <bottom/>
      <diagonal/>
    </border>
    <border>
      <left/>
      <right style="medium">
        <color rgb="FF000000"/>
      </right>
      <top style="medium">
        <color indexed="64"/>
      </top>
      <bottom/>
      <diagonal/>
    </border>
    <border>
      <left/>
      <right/>
      <top style="medium">
        <color indexed="64"/>
      </top>
      <bottom style="medium">
        <color rgb="FF000000"/>
      </bottom>
      <diagonal/>
    </border>
    <border>
      <left/>
      <right style="medium">
        <color indexed="64"/>
      </right>
      <top style="medium">
        <color rgb="FF000000"/>
      </top>
      <bottom style="medium">
        <color indexed="64"/>
      </bottom>
      <diagonal/>
    </border>
    <border>
      <left/>
      <right style="medium">
        <color indexed="64"/>
      </right>
      <top style="medium">
        <color rgb="FF000000"/>
      </top>
      <bottom/>
      <diagonal/>
    </border>
    <border>
      <left/>
      <right style="medium">
        <color indexed="64"/>
      </right>
      <top style="medium">
        <color rgb="FF000000"/>
      </top>
      <bottom style="medium">
        <color rgb="FF000000"/>
      </bottom>
      <diagonal/>
    </border>
    <border>
      <left style="medium">
        <color indexed="64"/>
      </left>
      <right/>
      <top/>
      <bottom style="medium">
        <color indexed="64"/>
      </bottom>
      <diagonal/>
    </border>
    <border>
      <left/>
      <right style="thick">
        <color indexed="64"/>
      </right>
      <top/>
      <bottom style="thick">
        <color indexed="64"/>
      </bottom>
      <diagonal/>
    </border>
    <border>
      <left style="medium">
        <color rgb="FF000000"/>
      </left>
      <right/>
      <top/>
      <bottom style="medium">
        <color indexed="64"/>
      </bottom>
      <diagonal/>
    </border>
    <border>
      <left style="medium">
        <color rgb="FF000000"/>
      </left>
      <right/>
      <top style="medium">
        <color indexed="64"/>
      </top>
      <bottom style="medium">
        <color indexed="64"/>
      </bottom>
      <diagonal/>
    </border>
    <border>
      <left style="medium">
        <color indexed="64"/>
      </left>
      <right/>
      <top style="medium">
        <color indexed="64"/>
      </top>
      <bottom/>
      <diagonal/>
    </border>
    <border>
      <left style="medium">
        <color indexed="64"/>
      </left>
      <right/>
      <top style="medium">
        <color rgb="FF000000"/>
      </top>
      <bottom style="medium">
        <color rgb="FF000000"/>
      </bottom>
      <diagonal/>
    </border>
    <border>
      <left style="medium">
        <color indexed="64"/>
      </left>
      <right/>
      <top style="medium">
        <color indexed="64"/>
      </top>
      <bottom style="medium">
        <color rgb="FF000000"/>
      </bottom>
      <diagonal/>
    </border>
    <border>
      <left style="medium">
        <color rgb="FF000000"/>
      </left>
      <right/>
      <top style="medium">
        <color indexed="64"/>
      </top>
      <bottom style="medium">
        <color rgb="FF000000"/>
      </bottom>
      <diagonal/>
    </border>
    <border>
      <left style="medium">
        <color indexed="64"/>
      </left>
      <right/>
      <top style="medium">
        <color indexed="64"/>
      </top>
      <bottom style="thick">
        <color indexed="64"/>
      </bottom>
      <diagonal/>
    </border>
    <border>
      <left/>
      <right/>
      <top style="medium">
        <color indexed="64"/>
      </top>
      <bottom style="thick">
        <color indexed="64"/>
      </bottom>
      <diagonal/>
    </border>
    <border>
      <left/>
      <right style="medium">
        <color indexed="64"/>
      </right>
      <top style="medium">
        <color indexed="64"/>
      </top>
      <bottom style="thick">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s>
  <cellStyleXfs count="124">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cellStyleXfs>
  <cellXfs count="321">
    <xf numFmtId="0" fontId="0" fillId="0" borderId="0" xfId="0"/>
    <xf numFmtId="0" fontId="0" fillId="0" borderId="0" xfId="0" applyAlignment="1">
      <alignment vertical="center" wrapText="1"/>
    </xf>
    <xf numFmtId="164" fontId="0" fillId="0" borderId="0" xfId="0" applyNumberFormat="1" applyAlignment="1">
      <alignment vertical="center" wrapText="1"/>
    </xf>
    <xf numFmtId="164" fontId="2" fillId="3" borderId="1" xfId="0" applyNumberFormat="1" applyFont="1" applyFill="1" applyBorder="1" applyAlignment="1">
      <alignment horizontal="center" vertical="center" wrapText="1"/>
    </xf>
    <xf numFmtId="0" fontId="0" fillId="0" borderId="1" xfId="0" quotePrefix="1" applyBorder="1" applyAlignment="1">
      <alignment vertical="center" wrapText="1"/>
    </xf>
    <xf numFmtId="165" fontId="0" fillId="0" borderId="1" xfId="0" applyNumberFormat="1" applyBorder="1" applyAlignment="1">
      <alignment vertical="center" wrapText="1"/>
    </xf>
    <xf numFmtId="0" fontId="5" fillId="0" borderId="0" xfId="0" applyFont="1" applyAlignment="1">
      <alignment vertical="center" wrapText="1"/>
    </xf>
    <xf numFmtId="0" fontId="0" fillId="5" borderId="0" xfId="0" applyFill="1" applyAlignment="1">
      <alignment vertical="center" wrapText="1"/>
    </xf>
    <xf numFmtId="0" fontId="11" fillId="0" borderId="1" xfId="0" applyFont="1" applyBorder="1" applyAlignment="1">
      <alignment horizontal="center" vertical="center"/>
    </xf>
    <xf numFmtId="0" fontId="0" fillId="0" borderId="1" xfId="0" quotePrefix="1" applyFill="1" applyBorder="1" applyAlignment="1">
      <alignment vertical="center" wrapText="1"/>
    </xf>
    <xf numFmtId="0" fontId="0" fillId="0" borderId="0" xfId="0" applyFill="1" applyAlignment="1">
      <alignment vertical="center" wrapText="1"/>
    </xf>
    <xf numFmtId="0" fontId="11" fillId="0" borderId="3" xfId="0" applyFont="1" applyBorder="1" applyAlignment="1">
      <alignment horizontal="center" vertical="center"/>
    </xf>
    <xf numFmtId="164" fontId="2" fillId="3" borderId="8" xfId="0" applyNumberFormat="1" applyFont="1" applyFill="1" applyBorder="1" applyAlignment="1">
      <alignment horizontal="center" vertical="center" wrapText="1"/>
    </xf>
    <xf numFmtId="0" fontId="5" fillId="0" borderId="0" xfId="0" applyFont="1" applyFill="1" applyAlignment="1">
      <alignment vertical="center" wrapText="1"/>
    </xf>
    <xf numFmtId="165" fontId="8" fillId="6" borderId="0" xfId="0" applyNumberFormat="1" applyFont="1" applyFill="1" applyBorder="1" applyAlignment="1">
      <alignment vertical="center" wrapText="1"/>
    </xf>
    <xf numFmtId="0" fontId="6" fillId="7" borderId="0" xfId="0"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0" fontId="0" fillId="6" borderId="0" xfId="0" applyFill="1" applyAlignment="1">
      <alignment vertical="center" wrapText="1"/>
    </xf>
    <xf numFmtId="0" fontId="5" fillId="6" borderId="0" xfId="0" applyFont="1" applyFill="1" applyAlignment="1">
      <alignment vertical="center" wrapText="1"/>
    </xf>
    <xf numFmtId="0" fontId="0" fillId="7" borderId="0" xfId="0" applyFill="1" applyAlignment="1">
      <alignment vertical="center" wrapText="1"/>
    </xf>
    <xf numFmtId="0" fontId="3" fillId="0" borderId="0" xfId="123" applyAlignment="1">
      <alignment horizontal="justify" vertical="center"/>
    </xf>
    <xf numFmtId="0" fontId="0" fillId="6" borderId="2" xfId="0" applyFill="1" applyBorder="1" applyAlignment="1">
      <alignment vertical="center" wrapText="1"/>
    </xf>
    <xf numFmtId="0" fontId="5" fillId="6" borderId="2" xfId="0" applyFont="1" applyFill="1" applyBorder="1" applyAlignment="1">
      <alignment vertical="center" wrapText="1"/>
    </xf>
    <xf numFmtId="0" fontId="14" fillId="0" borderId="37" xfId="0" applyFont="1" applyBorder="1" applyAlignment="1">
      <alignment horizontal="center" vertical="center"/>
    </xf>
    <xf numFmtId="0" fontId="14" fillId="0" borderId="35" xfId="0" applyFont="1" applyBorder="1" applyAlignment="1">
      <alignment horizontal="center" vertical="center"/>
    </xf>
    <xf numFmtId="0" fontId="0" fillId="8" borderId="1" xfId="0" applyFill="1" applyBorder="1" applyAlignment="1">
      <alignment vertical="center" wrapText="1"/>
    </xf>
    <xf numFmtId="0" fontId="0" fillId="0" borderId="1" xfId="0" applyBorder="1" applyAlignment="1">
      <alignment horizontal="center" vertical="center" wrapText="1"/>
    </xf>
    <xf numFmtId="164" fontId="2" fillId="3" borderId="6" xfId="0" applyNumberFormat="1" applyFont="1" applyFill="1" applyBorder="1" applyAlignment="1">
      <alignment horizontal="center" vertical="center" wrapText="1"/>
    </xf>
    <xf numFmtId="0" fontId="8" fillId="6" borderId="2" xfId="0" applyFont="1" applyFill="1" applyBorder="1" applyAlignment="1">
      <alignment horizontal="center" vertical="center" wrapText="1"/>
    </xf>
    <xf numFmtId="0" fontId="8" fillId="6" borderId="4" xfId="0" applyFont="1" applyFill="1" applyBorder="1" applyAlignment="1">
      <alignment horizontal="center" vertical="center" wrapText="1"/>
    </xf>
    <xf numFmtId="0" fontId="8" fillId="6" borderId="3"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13"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7" fillId="6" borderId="2" xfId="0" applyFont="1" applyFill="1" applyBorder="1" applyAlignment="1">
      <alignment horizontal="center" vertical="center" wrapText="1"/>
    </xf>
    <xf numFmtId="0" fontId="7" fillId="6" borderId="4" xfId="0" applyFont="1" applyFill="1" applyBorder="1" applyAlignment="1">
      <alignment horizontal="center" vertical="center" wrapText="1"/>
    </xf>
    <xf numFmtId="0" fontId="7" fillId="6" borderId="3" xfId="0" applyFont="1" applyFill="1" applyBorder="1" applyAlignment="1">
      <alignment horizontal="center" vertical="center" wrapText="1"/>
    </xf>
    <xf numFmtId="0" fontId="6" fillId="7" borderId="2" xfId="0" applyFont="1" applyFill="1" applyBorder="1" applyAlignment="1">
      <alignment horizontal="center" vertical="center" wrapText="1"/>
    </xf>
    <xf numFmtId="0" fontId="6" fillId="7" borderId="4" xfId="0" applyFont="1" applyFill="1" applyBorder="1" applyAlignment="1">
      <alignment horizontal="center" vertical="center" wrapText="1"/>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5" xfId="0" quotePrefix="1" applyBorder="1" applyAlignment="1">
      <alignment vertical="center" wrapText="1"/>
    </xf>
    <xf numFmtId="0" fontId="12" fillId="0" borderId="3" xfId="0" applyFont="1" applyFill="1" applyBorder="1" applyAlignment="1">
      <alignment vertical="center" wrapText="1"/>
    </xf>
    <xf numFmtId="165" fontId="0" fillId="0" borderId="5" xfId="0" applyNumberFormat="1" applyBorder="1" applyAlignment="1">
      <alignment vertical="center" wrapText="1"/>
    </xf>
    <xf numFmtId="165" fontId="0" fillId="0" borderId="0" xfId="0" applyNumberFormat="1" applyBorder="1" applyAlignment="1">
      <alignment vertical="center" wrapText="1"/>
    </xf>
    <xf numFmtId="165" fontId="0" fillId="7" borderId="0" xfId="0" applyNumberFormat="1" applyFill="1" applyBorder="1" applyAlignment="1">
      <alignment vertical="center" wrapText="1"/>
    </xf>
    <xf numFmtId="0" fontId="18" fillId="8" borderId="1" xfId="0" applyFont="1" applyFill="1" applyBorder="1" applyAlignment="1">
      <alignment vertical="center" wrapText="1"/>
    </xf>
    <xf numFmtId="165" fontId="0" fillId="9" borderId="1" xfId="0" applyNumberFormat="1" applyFill="1" applyBorder="1" applyAlignment="1">
      <alignment vertical="center" wrapText="1"/>
    </xf>
    <xf numFmtId="0" fontId="0" fillId="8" borderId="2" xfId="0" applyFill="1" applyBorder="1" applyAlignment="1">
      <alignment vertical="center" wrapText="1"/>
    </xf>
    <xf numFmtId="0" fontId="0" fillId="0" borderId="1" xfId="0" applyBorder="1" applyAlignment="1">
      <alignment horizontal="center" vertical="center" wrapText="1"/>
    </xf>
    <xf numFmtId="0" fontId="11" fillId="0" borderId="9" xfId="0" applyFont="1" applyBorder="1" applyAlignment="1">
      <alignment horizontal="center" vertical="center"/>
    </xf>
    <xf numFmtId="165" fontId="0" fillId="0" borderId="5" xfId="0" applyNumberFormat="1" applyFill="1" applyBorder="1" applyAlignment="1">
      <alignment vertical="center" wrapText="1"/>
    </xf>
    <xf numFmtId="165" fontId="16" fillId="0" borderId="5" xfId="0" applyNumberFormat="1" applyFont="1" applyBorder="1" applyAlignment="1">
      <alignment vertical="center" wrapText="1"/>
    </xf>
    <xf numFmtId="165" fontId="12" fillId="0" borderId="5" xfId="0" applyNumberFormat="1" applyFont="1" applyBorder="1" applyAlignment="1">
      <alignment vertical="center" wrapText="1"/>
    </xf>
    <xf numFmtId="0" fontId="1" fillId="10" borderId="4" xfId="0" applyFont="1" applyFill="1" applyBorder="1" applyAlignment="1">
      <alignment horizontal="right" vertical="center" wrapText="1"/>
    </xf>
    <xf numFmtId="0" fontId="1" fillId="10" borderId="3" xfId="0" applyFont="1" applyFill="1" applyBorder="1" applyAlignment="1">
      <alignment horizontal="right" vertical="center" wrapText="1"/>
    </xf>
    <xf numFmtId="165" fontId="0" fillId="10" borderId="1" xfId="0" applyNumberFormat="1" applyFill="1" applyBorder="1" applyAlignment="1">
      <alignment vertical="center" wrapText="1"/>
    </xf>
    <xf numFmtId="165" fontId="0" fillId="10" borderId="6" xfId="0" applyNumberFormat="1" applyFill="1" applyBorder="1" applyAlignment="1">
      <alignment vertical="center" wrapText="1"/>
    </xf>
    <xf numFmtId="0" fontId="0" fillId="10" borderId="2" xfId="0" applyFill="1" applyBorder="1" applyAlignment="1">
      <alignment vertical="center" wrapText="1"/>
    </xf>
    <xf numFmtId="0" fontId="0" fillId="10" borderId="0" xfId="0" applyFill="1" applyAlignment="1">
      <alignment vertical="center" wrapText="1"/>
    </xf>
    <xf numFmtId="165" fontId="0" fillId="10" borderId="7" xfId="0" applyNumberFormat="1" applyFill="1" applyBorder="1" applyAlignment="1">
      <alignment vertical="center" wrapText="1"/>
    </xf>
    <xf numFmtId="0" fontId="1" fillId="10" borderId="13" xfId="0" applyFont="1" applyFill="1" applyBorder="1" applyAlignment="1">
      <alignment horizontal="right" vertical="center" wrapText="1"/>
    </xf>
    <xf numFmtId="0" fontId="1" fillId="10" borderId="9" xfId="0" applyFont="1" applyFill="1" applyBorder="1" applyAlignment="1">
      <alignment horizontal="right" vertical="center" wrapText="1"/>
    </xf>
    <xf numFmtId="165" fontId="0" fillId="10" borderId="0" xfId="0" applyNumberFormat="1" applyFill="1" applyBorder="1" applyAlignment="1">
      <alignment vertical="center" wrapText="1"/>
    </xf>
    <xf numFmtId="165" fontId="1" fillId="7" borderId="0" xfId="0" applyNumberFormat="1" applyFont="1" applyFill="1" applyBorder="1" applyAlignment="1">
      <alignment vertical="center" wrapText="1"/>
    </xf>
    <xf numFmtId="165" fontId="0" fillId="0" borderId="5" xfId="0" applyNumberFormat="1" applyBorder="1" applyAlignment="1">
      <alignment horizontal="center" vertical="center" wrapText="1"/>
    </xf>
    <xf numFmtId="165" fontId="0" fillId="10" borderId="6" xfId="0" applyNumberFormat="1" applyFill="1" applyBorder="1" applyAlignment="1">
      <alignment horizontal="center" vertical="center" wrapText="1"/>
    </xf>
    <xf numFmtId="165" fontId="0" fillId="10" borderId="7" xfId="0" applyNumberFormat="1" applyFill="1" applyBorder="1" applyAlignment="1">
      <alignment horizontal="center" vertical="center" wrapText="1"/>
    </xf>
    <xf numFmtId="165" fontId="0" fillId="10" borderId="1" xfId="0" applyNumberFormat="1" applyFill="1" applyBorder="1" applyAlignment="1">
      <alignment horizontal="center" vertical="center" wrapText="1"/>
    </xf>
    <xf numFmtId="165" fontId="0" fillId="10" borderId="0" xfId="0" applyNumberFormat="1" applyFill="1" applyBorder="1" applyAlignment="1">
      <alignment horizontal="center" vertical="center" wrapText="1"/>
    </xf>
    <xf numFmtId="165" fontId="0" fillId="0" borderId="0" xfId="0" applyNumberFormat="1" applyBorder="1" applyAlignment="1">
      <alignment horizontal="center" vertical="center" wrapText="1"/>
    </xf>
    <xf numFmtId="165" fontId="0" fillId="7" borderId="0" xfId="0" applyNumberFormat="1" applyFill="1" applyBorder="1" applyAlignment="1">
      <alignment horizontal="center" vertical="center" wrapText="1"/>
    </xf>
    <xf numFmtId="165" fontId="8" fillId="6" borderId="0" xfId="0" applyNumberFormat="1" applyFont="1" applyFill="1" applyBorder="1" applyAlignment="1">
      <alignment horizontal="center" vertical="center" wrapText="1"/>
    </xf>
    <xf numFmtId="164" fontId="0" fillId="0" borderId="0" xfId="0" applyNumberFormat="1" applyAlignment="1">
      <alignment horizontal="center" vertical="center" wrapText="1"/>
    </xf>
    <xf numFmtId="165" fontId="12" fillId="0" borderId="5" xfId="0" applyNumberFormat="1" applyFont="1" applyBorder="1" applyAlignment="1">
      <alignment horizontal="center" vertical="center" wrapText="1"/>
    </xf>
    <xf numFmtId="3" fontId="0" fillId="0" borderId="0" xfId="0" applyNumberFormat="1"/>
    <xf numFmtId="0" fontId="15" fillId="0" borderId="0" xfId="0" applyFont="1" applyAlignment="1">
      <alignment vertical="center" wrapText="1"/>
    </xf>
    <xf numFmtId="0" fontId="14" fillId="0" borderId="33" xfId="0" applyFont="1" applyBorder="1" applyAlignment="1">
      <alignment horizontal="center" vertical="center" wrapText="1"/>
    </xf>
    <xf numFmtId="0" fontId="14" fillId="0" borderId="24" xfId="0" applyFont="1" applyBorder="1" applyAlignment="1">
      <alignment horizontal="center" vertical="center" wrapText="1"/>
    </xf>
    <xf numFmtId="0" fontId="14" fillId="0" borderId="35" xfId="0" applyFont="1" applyBorder="1" applyAlignment="1">
      <alignment horizontal="center" vertical="center" wrapText="1"/>
    </xf>
    <xf numFmtId="0" fontId="14" fillId="0" borderId="37" xfId="0" applyFont="1" applyBorder="1" applyAlignment="1">
      <alignment horizontal="center" vertical="center" wrapText="1"/>
    </xf>
    <xf numFmtId="0" fontId="14" fillId="0" borderId="0" xfId="0" applyFont="1" applyAlignment="1">
      <alignment horizontal="center" vertical="center" wrapText="1"/>
    </xf>
    <xf numFmtId="0" fontId="14" fillId="0" borderId="49" xfId="0" applyFont="1" applyBorder="1" applyAlignment="1">
      <alignment horizontal="center" vertical="center" wrapText="1"/>
    </xf>
    <xf numFmtId="0" fontId="14" fillId="12" borderId="33" xfId="0" applyFont="1" applyFill="1" applyBorder="1" applyAlignment="1">
      <alignment horizontal="justify" vertical="center" wrapText="1"/>
    </xf>
    <xf numFmtId="0" fontId="15" fillId="12" borderId="24" xfId="0" applyFont="1" applyFill="1" applyBorder="1" applyAlignment="1">
      <alignment vertical="center" wrapText="1"/>
    </xf>
    <xf numFmtId="0" fontId="14" fillId="13" borderId="24" xfId="0" applyFont="1" applyFill="1" applyBorder="1" applyAlignment="1">
      <alignment horizontal="center" vertical="center" wrapText="1"/>
    </xf>
    <xf numFmtId="0" fontId="14" fillId="11" borderId="33" xfId="0" applyFont="1" applyFill="1" applyBorder="1" applyAlignment="1">
      <alignment horizontal="center" vertical="center" wrapText="1"/>
    </xf>
    <xf numFmtId="0" fontId="19" fillId="11" borderId="24" xfId="0" applyFont="1" applyFill="1" applyBorder="1" applyAlignment="1">
      <alignment horizontal="center" vertical="center" wrapText="1"/>
    </xf>
    <xf numFmtId="0" fontId="14" fillId="0" borderId="33" xfId="0" applyFont="1" applyBorder="1" applyAlignment="1">
      <alignment horizontal="center" vertical="center"/>
    </xf>
    <xf numFmtId="0" fontId="15" fillId="12" borderId="33" xfId="0" applyFont="1" applyFill="1" applyBorder="1" applyAlignment="1">
      <alignment vertical="center" wrapText="1"/>
    </xf>
    <xf numFmtId="0" fontId="14" fillId="12" borderId="24" xfId="0" applyFont="1" applyFill="1" applyBorder="1" applyAlignment="1">
      <alignment horizontal="justify" vertical="center" wrapText="1"/>
    </xf>
    <xf numFmtId="0" fontId="14" fillId="0" borderId="24" xfId="0" applyFont="1" applyBorder="1" applyAlignment="1">
      <alignment horizontal="center" vertical="center"/>
    </xf>
    <xf numFmtId="0" fontId="14" fillId="13" borderId="24" xfId="0" applyFont="1" applyFill="1" applyBorder="1" applyAlignment="1">
      <alignment horizontal="justify" vertical="center" wrapText="1"/>
    </xf>
    <xf numFmtId="0" fontId="15" fillId="13" borderId="34" xfId="0" applyFont="1" applyFill="1" applyBorder="1" applyAlignment="1">
      <alignment vertical="center" wrapText="1"/>
    </xf>
    <xf numFmtId="0" fontId="14" fillId="11" borderId="33" xfId="0" applyFont="1" applyFill="1" applyBorder="1" applyAlignment="1">
      <alignment horizontal="justify" vertical="center" wrapText="1"/>
    </xf>
    <xf numFmtId="0" fontId="15" fillId="11" borderId="31" xfId="0" applyFont="1" applyFill="1" applyBorder="1" applyAlignment="1">
      <alignment vertical="center" wrapText="1"/>
    </xf>
    <xf numFmtId="0" fontId="19" fillId="13" borderId="24" xfId="0" applyFont="1" applyFill="1" applyBorder="1" applyAlignment="1">
      <alignment horizontal="center" vertical="center" wrapText="1"/>
    </xf>
    <xf numFmtId="0" fontId="15" fillId="11" borderId="24" xfId="0" applyFont="1" applyFill="1" applyBorder="1" applyAlignment="1">
      <alignment vertical="center" wrapText="1"/>
    </xf>
    <xf numFmtId="0" fontId="14" fillId="0" borderId="30" xfId="0" applyFont="1" applyBorder="1" applyAlignment="1">
      <alignment horizontal="center" vertical="center"/>
    </xf>
    <xf numFmtId="0" fontId="14" fillId="0" borderId="27" xfId="0" applyFont="1" applyBorder="1" applyAlignment="1">
      <alignment horizontal="center" vertical="center" wrapText="1"/>
    </xf>
    <xf numFmtId="0" fontId="14" fillId="0" borderId="49" xfId="0" applyFont="1" applyBorder="1" applyAlignment="1">
      <alignment horizontal="center" vertical="center"/>
    </xf>
    <xf numFmtId="0" fontId="15" fillId="12" borderId="22" xfId="0" applyFont="1" applyFill="1" applyBorder="1" applyAlignment="1">
      <alignment vertical="center" wrapText="1"/>
    </xf>
    <xf numFmtId="0" fontId="14" fillId="13" borderId="22" xfId="0" applyFont="1" applyFill="1" applyBorder="1" applyAlignment="1">
      <alignment horizontal="justify" vertical="center" wrapText="1"/>
    </xf>
    <xf numFmtId="0" fontId="14" fillId="11" borderId="40" xfId="0" applyFont="1" applyFill="1" applyBorder="1" applyAlignment="1">
      <alignment horizontal="justify" vertical="center" wrapText="1"/>
    </xf>
    <xf numFmtId="0" fontId="14" fillId="0" borderId="22" xfId="0" applyFont="1" applyBorder="1" applyAlignment="1">
      <alignment horizontal="center" vertical="center" wrapText="1"/>
    </xf>
    <xf numFmtId="0" fontId="15" fillId="13" borderId="50" xfId="0" applyFont="1" applyFill="1" applyBorder="1" applyAlignment="1">
      <alignment vertical="center" wrapText="1"/>
    </xf>
    <xf numFmtId="0" fontId="15" fillId="13" borderId="24" xfId="0" applyFont="1" applyFill="1" applyBorder="1" applyAlignment="1">
      <alignment vertical="center" wrapText="1"/>
    </xf>
    <xf numFmtId="0" fontId="19" fillId="11" borderId="24" xfId="0" applyFont="1" applyFill="1" applyBorder="1" applyAlignment="1">
      <alignment horizontal="justify" vertical="center" wrapText="1"/>
    </xf>
    <xf numFmtId="0" fontId="15" fillId="0" borderId="60" xfId="0" applyFont="1" applyBorder="1" applyAlignment="1">
      <alignment vertical="center" wrapText="1"/>
    </xf>
    <xf numFmtId="3" fontId="14" fillId="0" borderId="47" xfId="0" applyNumberFormat="1" applyFont="1" applyBorder="1" applyAlignment="1">
      <alignment horizontal="center" vertical="center" wrapText="1"/>
    </xf>
    <xf numFmtId="3" fontId="19" fillId="12" borderId="29" xfId="0" applyNumberFormat="1" applyFont="1" applyFill="1" applyBorder="1" applyAlignment="1">
      <alignment horizontal="center" vertical="center" wrapText="1"/>
    </xf>
    <xf numFmtId="3" fontId="19" fillId="13" borderId="29" xfId="0" applyNumberFormat="1" applyFont="1" applyFill="1" applyBorder="1" applyAlignment="1">
      <alignment horizontal="center" vertical="center" wrapText="1"/>
    </xf>
    <xf numFmtId="3" fontId="19" fillId="11" borderId="29" xfId="0" applyNumberFormat="1" applyFont="1" applyFill="1" applyBorder="1" applyAlignment="1">
      <alignment horizontal="center" vertical="center" wrapText="1"/>
    </xf>
    <xf numFmtId="3" fontId="19" fillId="13" borderId="62" xfId="0" applyNumberFormat="1" applyFont="1" applyFill="1" applyBorder="1" applyAlignment="1">
      <alignment horizontal="center" vertical="center" wrapText="1"/>
    </xf>
    <xf numFmtId="3" fontId="19" fillId="11" borderId="62" xfId="0" applyNumberFormat="1" applyFont="1" applyFill="1" applyBorder="1" applyAlignment="1">
      <alignment horizontal="center" vertical="center" wrapText="1"/>
    </xf>
    <xf numFmtId="3" fontId="19" fillId="13" borderId="66" xfId="0" applyNumberFormat="1" applyFont="1" applyFill="1" applyBorder="1" applyAlignment="1">
      <alignment horizontal="center" vertical="center" wrapText="1"/>
    </xf>
    <xf numFmtId="3" fontId="19" fillId="11" borderId="15" xfId="0" applyNumberFormat="1" applyFont="1" applyFill="1" applyBorder="1" applyAlignment="1">
      <alignment horizontal="center" vertical="center" wrapText="1"/>
    </xf>
    <xf numFmtId="3" fontId="19" fillId="11" borderId="67" xfId="0" applyNumberFormat="1" applyFont="1" applyFill="1" applyBorder="1" applyAlignment="1">
      <alignment horizontal="center" vertical="center" wrapText="1"/>
    </xf>
    <xf numFmtId="3" fontId="19" fillId="0" borderId="71" xfId="0" applyNumberFormat="1" applyFont="1" applyBorder="1" applyAlignment="1">
      <alignment horizontal="center" vertical="center" wrapText="1"/>
    </xf>
    <xf numFmtId="0" fontId="21" fillId="0" borderId="0" xfId="0" applyFont="1" applyAlignment="1">
      <alignment horizontal="justify" vertical="center"/>
    </xf>
    <xf numFmtId="0" fontId="20" fillId="0" borderId="33" xfId="0" applyFont="1" applyBorder="1" applyAlignment="1">
      <alignment vertical="center" wrapText="1"/>
    </xf>
    <xf numFmtId="3" fontId="13" fillId="0" borderId="24" xfId="0" applyNumberFormat="1" applyFont="1" applyBorder="1" applyAlignment="1">
      <alignment vertical="center" wrapText="1"/>
    </xf>
    <xf numFmtId="0" fontId="13" fillId="0" borderId="24" xfId="0" applyFont="1" applyBorder="1" applyAlignment="1">
      <alignment vertical="center" wrapText="1"/>
    </xf>
    <xf numFmtId="15" fontId="13" fillId="0" borderId="24" xfId="0" applyNumberFormat="1" applyFont="1" applyBorder="1" applyAlignment="1">
      <alignment vertical="center" wrapText="1"/>
    </xf>
    <xf numFmtId="0" fontId="19" fillId="14" borderId="37" xfId="0" applyFont="1" applyFill="1" applyBorder="1" applyAlignment="1">
      <alignment vertical="center" wrapText="1"/>
    </xf>
    <xf numFmtId="165" fontId="0" fillId="0" borderId="8" xfId="0" applyNumberFormat="1" applyBorder="1" applyAlignment="1">
      <alignment vertical="center" wrapText="1"/>
    </xf>
    <xf numFmtId="165" fontId="0" fillId="0" borderId="8" xfId="0" applyNumberFormat="1" applyFont="1" applyBorder="1" applyAlignment="1">
      <alignment vertical="center" wrapText="1"/>
    </xf>
    <xf numFmtId="165" fontId="0" fillId="10" borderId="10" xfId="0" applyNumberFormat="1" applyFill="1" applyBorder="1" applyAlignment="1">
      <alignment vertical="center" wrapText="1"/>
    </xf>
    <xf numFmtId="165" fontId="0" fillId="10" borderId="14" xfId="0" applyNumberFormat="1" applyFill="1" applyBorder="1" applyAlignment="1">
      <alignment vertical="center" wrapText="1"/>
    </xf>
    <xf numFmtId="165" fontId="0" fillId="10" borderId="2" xfId="0" applyNumberFormat="1" applyFill="1" applyBorder="1" applyAlignment="1">
      <alignment vertical="center" wrapText="1"/>
    </xf>
    <xf numFmtId="165" fontId="16" fillId="9" borderId="1" xfId="0" applyNumberFormat="1" applyFont="1" applyFill="1" applyBorder="1" applyAlignment="1">
      <alignment vertical="center" wrapText="1"/>
    </xf>
    <xf numFmtId="3" fontId="14" fillId="0" borderId="33" xfId="0" applyNumberFormat="1" applyFont="1" applyBorder="1" applyAlignment="1">
      <alignment horizontal="center" vertical="center" wrapText="1"/>
    </xf>
    <xf numFmtId="3" fontId="19" fillId="13" borderId="33" xfId="0" applyNumberFormat="1" applyFont="1" applyFill="1" applyBorder="1" applyAlignment="1">
      <alignment horizontal="center" vertical="center" wrapText="1"/>
    </xf>
    <xf numFmtId="3" fontId="19" fillId="11" borderId="33" xfId="0" applyNumberFormat="1" applyFont="1" applyFill="1" applyBorder="1" applyAlignment="1">
      <alignment horizontal="center" vertical="center" wrapText="1"/>
    </xf>
    <xf numFmtId="3" fontId="19" fillId="13" borderId="35" xfId="0" applyNumberFormat="1" applyFont="1" applyFill="1" applyBorder="1" applyAlignment="1">
      <alignment horizontal="center" vertical="center" wrapText="1"/>
    </xf>
    <xf numFmtId="3" fontId="19" fillId="11" borderId="37" xfId="0" applyNumberFormat="1" applyFont="1" applyFill="1" applyBorder="1" applyAlignment="1">
      <alignment horizontal="center" vertical="center" wrapText="1"/>
    </xf>
    <xf numFmtId="3" fontId="13" fillId="0" borderId="40" xfId="0" applyNumberFormat="1" applyFont="1" applyBorder="1" applyAlignment="1">
      <alignment horizontal="center" vertical="center" wrapText="1"/>
    </xf>
    <xf numFmtId="0" fontId="15" fillId="12" borderId="37" xfId="0" applyFont="1" applyFill="1" applyBorder="1" applyAlignment="1">
      <alignment vertical="center" wrapText="1"/>
    </xf>
    <xf numFmtId="3" fontId="19" fillId="16" borderId="33" xfId="0" applyNumberFormat="1" applyFont="1" applyFill="1" applyBorder="1" applyAlignment="1">
      <alignment horizontal="center" vertical="center" wrapText="1"/>
    </xf>
    <xf numFmtId="3" fontId="19" fillId="2" borderId="33" xfId="0" applyNumberFormat="1" applyFont="1" applyFill="1" applyBorder="1" applyAlignment="1">
      <alignment horizontal="center" vertical="center" wrapText="1"/>
    </xf>
    <xf numFmtId="0" fontId="15" fillId="11" borderId="37" xfId="0" applyFont="1" applyFill="1" applyBorder="1" applyAlignment="1">
      <alignment vertical="center" wrapText="1"/>
    </xf>
    <xf numFmtId="0" fontId="19" fillId="11" borderId="37" xfId="0" applyFont="1" applyFill="1" applyBorder="1" applyAlignment="1">
      <alignment horizontal="center" vertical="center" wrapText="1"/>
    </xf>
    <xf numFmtId="0" fontId="14" fillId="12" borderId="37" xfId="0" applyFont="1" applyFill="1" applyBorder="1" applyAlignment="1">
      <alignment horizontal="justify" vertical="center" wrapText="1"/>
    </xf>
    <xf numFmtId="37" fontId="0" fillId="0" borderId="0" xfId="0" applyNumberFormat="1" applyAlignment="1">
      <alignment horizontal="right" vertical="center" wrapText="1"/>
    </xf>
    <xf numFmtId="0" fontId="19" fillId="14" borderId="37" xfId="0" applyFont="1" applyFill="1" applyBorder="1" applyAlignment="1">
      <alignment horizontal="center" vertical="center" wrapText="1"/>
    </xf>
    <xf numFmtId="0" fontId="19" fillId="15" borderId="37" xfId="0" applyFont="1" applyFill="1" applyBorder="1" applyAlignment="1">
      <alignment vertical="center" wrapText="1"/>
    </xf>
    <xf numFmtId="3" fontId="14" fillId="15" borderId="37" xfId="0" applyNumberFormat="1" applyFont="1" applyFill="1" applyBorder="1" applyAlignment="1">
      <alignment vertical="center" wrapText="1"/>
    </xf>
    <xf numFmtId="0" fontId="14" fillId="15" borderId="37" xfId="0" applyFont="1" applyFill="1" applyBorder="1" applyAlignment="1">
      <alignment vertical="center" wrapText="1"/>
    </xf>
    <xf numFmtId="0" fontId="17" fillId="0" borderId="0" xfId="0" applyFont="1" applyAlignment="1">
      <alignment horizontal="left" vertical="top" wrapText="1"/>
    </xf>
    <xf numFmtId="3" fontId="1" fillId="9" borderId="0" xfId="0" applyNumberFormat="1" applyFont="1" applyFill="1"/>
    <xf numFmtId="166" fontId="0" fillId="0" borderId="0" xfId="0" applyNumberFormat="1"/>
    <xf numFmtId="3" fontId="0" fillId="5" borderId="0" xfId="0" applyNumberFormat="1" applyFill="1"/>
    <xf numFmtId="3" fontId="1" fillId="5" borderId="0" xfId="0" applyNumberFormat="1" applyFont="1" applyFill="1"/>
    <xf numFmtId="167" fontId="0" fillId="5" borderId="0" xfId="0" applyNumberFormat="1" applyFill="1"/>
    <xf numFmtId="167" fontId="1" fillId="5" borderId="0" xfId="0" applyNumberFormat="1" applyFont="1" applyFill="1"/>
    <xf numFmtId="166" fontId="0" fillId="5" borderId="0" xfId="0" applyNumberFormat="1" applyFill="1"/>
    <xf numFmtId="3" fontId="0" fillId="9" borderId="0" xfId="0" applyNumberFormat="1" applyFill="1"/>
    <xf numFmtId="3" fontId="0" fillId="4" borderId="0" xfId="0" applyNumberFormat="1" applyFill="1"/>
    <xf numFmtId="3" fontId="1" fillId="4" borderId="0" xfId="0" applyNumberFormat="1" applyFont="1" applyFill="1"/>
    <xf numFmtId="166" fontId="1" fillId="9" borderId="0" xfId="0" applyNumberFormat="1" applyFont="1" applyFill="1"/>
    <xf numFmtId="3" fontId="0" fillId="17" borderId="0" xfId="0" applyNumberFormat="1" applyFill="1"/>
    <xf numFmtId="166" fontId="0" fillId="17" borderId="0" xfId="0" applyNumberFormat="1" applyFill="1"/>
    <xf numFmtId="166" fontId="0" fillId="17" borderId="0" xfId="0" applyNumberFormat="1" applyFont="1" applyFill="1"/>
    <xf numFmtId="167" fontId="0" fillId="17" borderId="0" xfId="0" applyNumberFormat="1" applyFont="1" applyFill="1"/>
    <xf numFmtId="0" fontId="22" fillId="0" borderId="0" xfId="0" applyFont="1"/>
    <xf numFmtId="0" fontId="17" fillId="0" borderId="0" xfId="0" applyFont="1"/>
    <xf numFmtId="0" fontId="0" fillId="8" borderId="1" xfId="0" applyFont="1" applyFill="1" applyBorder="1" applyAlignment="1">
      <alignment vertical="center" wrapText="1"/>
    </xf>
    <xf numFmtId="165" fontId="0" fillId="4" borderId="1" xfId="0" applyNumberFormat="1" applyFill="1" applyBorder="1" applyAlignment="1">
      <alignment vertical="center" wrapText="1"/>
    </xf>
    <xf numFmtId="0" fontId="11" fillId="0" borderId="0" xfId="0" applyFont="1"/>
    <xf numFmtId="0" fontId="23" fillId="5" borderId="1" xfId="0" applyFont="1" applyFill="1" applyBorder="1" applyAlignment="1">
      <alignment horizontal="center" vertical="center" wrapText="1"/>
    </xf>
    <xf numFmtId="0" fontId="23" fillId="18"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left" vertical="center" wrapText="1"/>
    </xf>
    <xf numFmtId="0" fontId="11" fillId="0" borderId="0" xfId="0" applyFont="1" applyAlignment="1">
      <alignment horizontal="left"/>
    </xf>
    <xf numFmtId="0" fontId="15" fillId="0" borderId="0" xfId="0" applyFont="1"/>
    <xf numFmtId="0" fontId="15" fillId="0" borderId="0" xfId="0" applyFont="1" applyAlignment="1">
      <alignment horizontal="left"/>
    </xf>
    <xf numFmtId="0" fontId="19" fillId="11" borderId="32" xfId="0" applyFont="1" applyFill="1" applyBorder="1" applyAlignment="1">
      <alignment horizontal="center" vertical="center"/>
    </xf>
    <xf numFmtId="0" fontId="19" fillId="11" borderId="24" xfId="0" applyFont="1" applyFill="1" applyBorder="1" applyAlignment="1">
      <alignment horizontal="center" vertical="center"/>
    </xf>
    <xf numFmtId="0" fontId="19" fillId="0" borderId="33" xfId="0" applyFont="1" applyBorder="1" applyAlignment="1">
      <alignment horizontal="right" vertical="center"/>
    </xf>
    <xf numFmtId="3" fontId="14" fillId="0" borderId="24" xfId="0" applyNumberFormat="1" applyFont="1" applyBorder="1" applyAlignment="1">
      <alignment horizontal="center" vertical="center"/>
    </xf>
    <xf numFmtId="0" fontId="20" fillId="0" borderId="33" xfId="0" applyFont="1" applyBorder="1" applyAlignment="1">
      <alignment horizontal="right" vertical="center"/>
    </xf>
    <xf numFmtId="3" fontId="19" fillId="0" borderId="24" xfId="0" applyNumberFormat="1" applyFont="1" applyBorder="1" applyAlignment="1">
      <alignment horizontal="center" vertical="center"/>
    </xf>
    <xf numFmtId="0" fontId="20" fillId="0" borderId="37" xfId="0" applyFont="1" applyBorder="1" applyAlignment="1">
      <alignment vertical="center" wrapText="1"/>
    </xf>
    <xf numFmtId="0" fontId="13" fillId="0" borderId="37" xfId="0" applyFont="1" applyBorder="1" applyAlignment="1">
      <alignment vertical="center" wrapText="1"/>
    </xf>
    <xf numFmtId="3" fontId="14" fillId="19" borderId="47" xfId="0" applyNumberFormat="1" applyFont="1" applyFill="1" applyBorder="1" applyAlignment="1">
      <alignment horizontal="center" vertical="center" wrapText="1"/>
    </xf>
    <xf numFmtId="3" fontId="19" fillId="19" borderId="29" xfId="0" applyNumberFormat="1" applyFont="1" applyFill="1" applyBorder="1" applyAlignment="1">
      <alignment horizontal="center" vertical="center" wrapText="1"/>
    </xf>
    <xf numFmtId="3" fontId="19" fillId="19" borderId="62" xfId="0" applyNumberFormat="1" applyFont="1" applyFill="1" applyBorder="1" applyAlignment="1">
      <alignment horizontal="center" vertical="center" wrapText="1"/>
    </xf>
    <xf numFmtId="3" fontId="19" fillId="19" borderId="66" xfId="0" applyNumberFormat="1" applyFont="1" applyFill="1" applyBorder="1" applyAlignment="1">
      <alignment horizontal="center" vertical="center" wrapText="1"/>
    </xf>
    <xf numFmtId="3" fontId="19" fillId="19" borderId="15" xfId="0" applyNumberFormat="1" applyFont="1" applyFill="1" applyBorder="1" applyAlignment="1">
      <alignment horizontal="center" vertical="center" wrapText="1"/>
    </xf>
    <xf numFmtId="3" fontId="19" fillId="19" borderId="67" xfId="0" applyNumberFormat="1" applyFont="1" applyFill="1" applyBorder="1" applyAlignment="1">
      <alignment horizontal="center" vertical="center" wrapText="1"/>
    </xf>
    <xf numFmtId="3" fontId="19" fillId="19" borderId="71" xfId="0" applyNumberFormat="1" applyFont="1" applyFill="1" applyBorder="1" applyAlignment="1">
      <alignment horizontal="center" vertical="center" wrapText="1"/>
    </xf>
    <xf numFmtId="0" fontId="0" fillId="19" borderId="0" xfId="0" applyFill="1"/>
    <xf numFmtId="0" fontId="2" fillId="3" borderId="8"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0" fillId="0" borderId="9"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0" fillId="0" borderId="0" xfId="0" applyBorder="1" applyAlignment="1">
      <alignment horizontal="center" vertical="center" wrapText="1"/>
    </xf>
    <xf numFmtId="0" fontId="0" fillId="0" borderId="51" xfId="0" applyBorder="1" applyAlignment="1">
      <alignment horizontal="center" vertical="center" wrapText="1"/>
    </xf>
    <xf numFmtId="16" fontId="0" fillId="0" borderId="5" xfId="0" applyNumberFormat="1" applyBorder="1" applyAlignment="1">
      <alignment horizontal="center" vertical="center" wrapText="1"/>
    </xf>
    <xf numFmtId="16" fontId="0" fillId="0" borderId="6" xfId="0" applyNumberFormat="1" applyBorder="1" applyAlignment="1">
      <alignment horizontal="center" vertical="center" wrapText="1"/>
    </xf>
    <xf numFmtId="0" fontId="0" fillId="0" borderId="1"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49" fontId="0" fillId="0" borderId="1" xfId="0" applyNumberFormat="1" applyBorder="1" applyAlignment="1">
      <alignment horizontal="center" vertical="center" wrapText="1"/>
    </xf>
    <xf numFmtId="14" fontId="0" fillId="0" borderId="5" xfId="0" applyNumberFormat="1" applyBorder="1" applyAlignment="1">
      <alignment horizontal="center" vertical="center" wrapText="1"/>
    </xf>
    <xf numFmtId="14" fontId="0" fillId="0" borderId="6" xfId="0" applyNumberFormat="1" applyBorder="1" applyAlignment="1">
      <alignment horizontal="center" vertical="center" wrapText="1"/>
    </xf>
    <xf numFmtId="0" fontId="16" fillId="0" borderId="5" xfId="0" applyFont="1" applyBorder="1" applyAlignment="1">
      <alignment horizontal="center" vertical="center" wrapText="1"/>
    </xf>
    <xf numFmtId="0" fontId="16" fillId="0" borderId="6" xfId="0" applyFont="1" applyBorder="1" applyAlignment="1">
      <alignment horizontal="center" vertical="center" wrapText="1"/>
    </xf>
    <xf numFmtId="49" fontId="0" fillId="0" borderId="6" xfId="0" applyNumberFormat="1" applyBorder="1" applyAlignment="1">
      <alignment horizontal="center" vertical="center" wrapText="1"/>
    </xf>
    <xf numFmtId="0" fontId="16" fillId="0" borderId="1" xfId="0" applyFont="1" applyBorder="1" applyAlignment="1">
      <alignment horizontal="center" vertical="center" wrapText="1"/>
    </xf>
    <xf numFmtId="0" fontId="0" fillId="0" borderId="6" xfId="0" applyFill="1" applyBorder="1" applyAlignment="1">
      <alignment horizontal="center" vertical="center" wrapText="1"/>
    </xf>
    <xf numFmtId="0" fontId="19" fillId="19" borderId="45" xfId="0" applyFont="1" applyFill="1" applyBorder="1" applyAlignment="1">
      <alignment horizontal="center" vertical="center" wrapText="1"/>
    </xf>
    <xf numFmtId="0" fontId="19" fillId="19" borderId="38" xfId="0" applyFont="1" applyFill="1" applyBorder="1" applyAlignment="1">
      <alignment horizontal="center" vertical="center" wrapText="1"/>
    </xf>
    <xf numFmtId="0" fontId="19" fillId="11" borderId="45" xfId="0" applyFont="1" applyFill="1" applyBorder="1" applyAlignment="1">
      <alignment horizontal="center" vertical="center" wrapText="1"/>
    </xf>
    <xf numFmtId="0" fontId="19" fillId="11" borderId="38" xfId="0" applyFont="1" applyFill="1" applyBorder="1" applyAlignment="1">
      <alignment horizontal="center" vertical="center" wrapText="1"/>
    </xf>
    <xf numFmtId="0" fontId="19" fillId="11" borderId="28" xfId="0" applyFont="1" applyFill="1" applyBorder="1" applyAlignment="1">
      <alignment horizontal="center" vertical="center" wrapText="1"/>
    </xf>
    <xf numFmtId="0" fontId="19" fillId="11" borderId="40" xfId="0" applyFont="1" applyFill="1" applyBorder="1" applyAlignment="1">
      <alignment horizontal="center" vertical="center" wrapText="1"/>
    </xf>
    <xf numFmtId="0" fontId="19" fillId="11" borderId="32" xfId="0" applyFont="1" applyFill="1" applyBorder="1" applyAlignment="1">
      <alignment horizontal="center" vertical="center" wrapText="1"/>
    </xf>
    <xf numFmtId="0" fontId="19" fillId="11" borderId="22" xfId="0" applyFont="1" applyFill="1" applyBorder="1" applyAlignment="1">
      <alignment horizontal="center" vertical="center" wrapText="1"/>
    </xf>
    <xf numFmtId="0" fontId="19" fillId="11" borderId="39" xfId="0" applyFont="1" applyFill="1" applyBorder="1" applyAlignment="1">
      <alignment horizontal="center" vertical="center" wrapText="1"/>
    </xf>
    <xf numFmtId="0" fontId="19" fillId="11" borderId="21" xfId="0" applyFont="1" applyFill="1" applyBorder="1" applyAlignment="1">
      <alignment horizontal="center" vertical="center" wrapText="1"/>
    </xf>
    <xf numFmtId="0" fontId="19" fillId="11" borderId="54" xfId="0" applyFont="1" applyFill="1" applyBorder="1" applyAlignment="1">
      <alignment horizontal="center" vertical="center" wrapText="1"/>
    </xf>
    <xf numFmtId="0" fontId="19" fillId="11" borderId="18" xfId="0" applyFont="1" applyFill="1" applyBorder="1" applyAlignment="1">
      <alignment horizontal="center" vertical="center" wrapText="1"/>
    </xf>
    <xf numFmtId="0" fontId="19" fillId="11" borderId="53" xfId="0" applyFont="1" applyFill="1" applyBorder="1" applyAlignment="1">
      <alignment horizontal="center" vertical="center" wrapText="1"/>
    </xf>
    <xf numFmtId="0" fontId="19" fillId="11" borderId="27" xfId="0" applyFont="1" applyFill="1" applyBorder="1" applyAlignment="1">
      <alignment horizontal="center" vertical="center" wrapText="1"/>
    </xf>
    <xf numFmtId="0" fontId="14" fillId="0" borderId="29" xfId="0" applyFont="1" applyBorder="1" applyAlignment="1">
      <alignment horizontal="left" vertical="center" wrapText="1"/>
    </xf>
    <xf numFmtId="0" fontId="14" fillId="0" borderId="30" xfId="0" applyFont="1" applyBorder="1" applyAlignment="1">
      <alignment horizontal="left" vertical="center" wrapText="1"/>
    </xf>
    <xf numFmtId="0" fontId="14" fillId="0" borderId="31" xfId="0" applyFont="1" applyBorder="1" applyAlignment="1">
      <alignment horizontal="left" vertical="center" wrapText="1"/>
    </xf>
    <xf numFmtId="0" fontId="19" fillId="0" borderId="46" xfId="0" applyFont="1" applyBorder="1" applyAlignment="1">
      <alignment horizontal="center" vertical="center" wrapText="1"/>
    </xf>
    <xf numFmtId="0" fontId="19" fillId="0" borderId="41" xfId="0" applyFont="1" applyBorder="1" applyAlignment="1">
      <alignment horizontal="center" vertical="center" wrapText="1"/>
    </xf>
    <xf numFmtId="0" fontId="19" fillId="0" borderId="21" xfId="0" applyFont="1" applyBorder="1" applyAlignment="1">
      <alignment horizontal="center" vertical="center" wrapText="1"/>
    </xf>
    <xf numFmtId="0" fontId="19" fillId="0" borderId="19" xfId="0" applyFont="1" applyBorder="1" applyAlignment="1">
      <alignment horizontal="center" vertical="center" wrapText="1"/>
    </xf>
    <xf numFmtId="0" fontId="19" fillId="0" borderId="26" xfId="0" applyFont="1" applyBorder="1" applyAlignment="1">
      <alignment horizontal="center" vertical="center" wrapText="1"/>
    </xf>
    <xf numFmtId="0" fontId="19" fillId="0" borderId="20" xfId="0" applyFont="1" applyBorder="1" applyAlignment="1">
      <alignment horizontal="center" vertical="center" wrapText="1"/>
    </xf>
    <xf numFmtId="0" fontId="19" fillId="0" borderId="25" xfId="0" applyFont="1" applyBorder="1" applyAlignment="1">
      <alignment horizontal="center" vertical="center" wrapText="1"/>
    </xf>
    <xf numFmtId="0" fontId="19" fillId="0" borderId="38" xfId="0" applyFont="1" applyBorder="1" applyAlignment="1">
      <alignment horizontal="center" vertical="center" wrapText="1"/>
    </xf>
    <xf numFmtId="0" fontId="19" fillId="0" borderId="18" xfId="0" applyFont="1" applyBorder="1" applyAlignment="1">
      <alignment horizontal="center" vertical="center" wrapText="1"/>
    </xf>
    <xf numFmtId="0" fontId="19" fillId="0" borderId="57" xfId="0" applyFont="1" applyBorder="1" applyAlignment="1">
      <alignment horizontal="center" vertical="center" wrapText="1"/>
    </xf>
    <xf numFmtId="0" fontId="19" fillId="0" borderId="34" xfId="0" applyFont="1" applyBorder="1" applyAlignment="1">
      <alignment horizontal="center" vertical="center" wrapText="1"/>
    </xf>
    <xf numFmtId="0" fontId="19" fillId="0" borderId="22" xfId="0" applyFont="1" applyBorder="1" applyAlignment="1">
      <alignment horizontal="center" vertical="center" wrapText="1"/>
    </xf>
    <xf numFmtId="0" fontId="14" fillId="0" borderId="47" xfId="0" applyFont="1" applyBorder="1" applyAlignment="1">
      <alignment horizontal="left" vertical="center" wrapText="1"/>
    </xf>
    <xf numFmtId="0" fontId="14" fillId="0" borderId="48" xfId="0" applyFont="1" applyBorder="1" applyAlignment="1">
      <alignment horizontal="left" vertical="center" wrapText="1"/>
    </xf>
    <xf numFmtId="0" fontId="14" fillId="0" borderId="56" xfId="0" applyFont="1" applyBorder="1" applyAlignment="1">
      <alignment horizontal="left" vertical="center" wrapText="1"/>
    </xf>
    <xf numFmtId="0" fontId="14" fillId="0" borderId="29" xfId="0" applyFont="1" applyBorder="1" applyAlignment="1">
      <alignment horizontal="justify" vertical="center" wrapText="1"/>
    </xf>
    <xf numFmtId="0" fontId="14" fillId="0" borderId="30" xfId="0" applyFont="1" applyBorder="1" applyAlignment="1">
      <alignment horizontal="justify" vertical="center" wrapText="1"/>
    </xf>
    <xf numFmtId="0" fontId="14" fillId="0" borderId="31" xfId="0" applyFont="1" applyBorder="1" applyAlignment="1">
      <alignment horizontal="justify" vertical="center" wrapText="1"/>
    </xf>
    <xf numFmtId="0" fontId="19" fillId="12" borderId="29" xfId="0" applyFont="1" applyFill="1" applyBorder="1" applyAlignment="1">
      <alignment horizontal="justify" vertical="center" wrapText="1"/>
    </xf>
    <xf numFmtId="0" fontId="19" fillId="12" borderId="30" xfId="0" applyFont="1" applyFill="1" applyBorder="1" applyAlignment="1">
      <alignment horizontal="justify" vertical="center" wrapText="1"/>
    </xf>
    <xf numFmtId="0" fontId="19" fillId="12" borderId="31" xfId="0" applyFont="1" applyFill="1" applyBorder="1" applyAlignment="1">
      <alignment horizontal="justify" vertical="center" wrapText="1"/>
    </xf>
    <xf numFmtId="0" fontId="19" fillId="11" borderId="62" xfId="0" applyFont="1" applyFill="1" applyBorder="1" applyAlignment="1">
      <alignment horizontal="center" vertical="center" wrapText="1"/>
    </xf>
    <xf numFmtId="0" fontId="19" fillId="11" borderId="31" xfId="0" applyFont="1" applyFill="1" applyBorder="1" applyAlignment="1">
      <alignment horizontal="center" vertical="center" wrapText="1"/>
    </xf>
    <xf numFmtId="0" fontId="19" fillId="11" borderId="29" xfId="0" applyFont="1" applyFill="1" applyBorder="1" applyAlignment="1">
      <alignment horizontal="center" vertical="center" wrapText="1"/>
    </xf>
    <xf numFmtId="0" fontId="19" fillId="11" borderId="29" xfId="0" applyFont="1" applyFill="1" applyBorder="1" applyAlignment="1">
      <alignment horizontal="left" vertical="center" wrapText="1"/>
    </xf>
    <xf numFmtId="0" fontId="19" fillId="11" borderId="30" xfId="0" applyFont="1" applyFill="1" applyBorder="1" applyAlignment="1">
      <alignment horizontal="left" vertical="center" wrapText="1"/>
    </xf>
    <xf numFmtId="0" fontId="19" fillId="11" borderId="31" xfId="0" applyFont="1" applyFill="1" applyBorder="1" applyAlignment="1">
      <alignment horizontal="left" vertical="center" wrapText="1"/>
    </xf>
    <xf numFmtId="0" fontId="19" fillId="0" borderId="61" xfId="0" applyFont="1" applyBorder="1" applyAlignment="1">
      <alignment horizontal="center" vertical="center" wrapText="1"/>
    </xf>
    <xf numFmtId="0" fontId="19" fillId="0" borderId="24" xfId="0" applyFont="1" applyBorder="1" applyAlignment="1">
      <alignment horizontal="center" vertical="center" wrapText="1"/>
    </xf>
    <xf numFmtId="0" fontId="19" fillId="0" borderId="44" xfId="0" applyFont="1" applyBorder="1" applyAlignment="1">
      <alignment horizontal="center" vertical="center" wrapText="1"/>
    </xf>
    <xf numFmtId="0" fontId="19" fillId="0" borderId="42" xfId="0" applyFont="1" applyBorder="1" applyAlignment="1">
      <alignment horizontal="center" vertical="center" wrapText="1"/>
    </xf>
    <xf numFmtId="0" fontId="19" fillId="0" borderId="59" xfId="0" applyFont="1" applyBorder="1" applyAlignment="1">
      <alignment horizontal="center" vertical="center" wrapText="1"/>
    </xf>
    <xf numFmtId="0" fontId="19" fillId="13" borderId="29" xfId="0" applyFont="1" applyFill="1" applyBorder="1" applyAlignment="1">
      <alignment horizontal="left" vertical="center" wrapText="1"/>
    </xf>
    <xf numFmtId="0" fontId="19" fillId="13" borderId="30" xfId="0" applyFont="1" applyFill="1" applyBorder="1" applyAlignment="1">
      <alignment horizontal="left" vertical="center" wrapText="1"/>
    </xf>
    <xf numFmtId="0" fontId="19" fillId="13" borderId="31" xfId="0" applyFont="1" applyFill="1" applyBorder="1" applyAlignment="1">
      <alignment horizontal="left" vertical="center" wrapText="1"/>
    </xf>
    <xf numFmtId="0" fontId="19" fillId="0" borderId="45" xfId="0" applyFont="1" applyBorder="1" applyAlignment="1">
      <alignment horizontal="center" vertical="center" wrapText="1"/>
    </xf>
    <xf numFmtId="0" fontId="19" fillId="0" borderId="32" xfId="0" applyFont="1" applyBorder="1" applyAlignment="1">
      <alignment horizontal="center" vertical="center" wrapText="1"/>
    </xf>
    <xf numFmtId="0" fontId="19" fillId="0" borderId="63" xfId="0" applyFont="1" applyBorder="1" applyAlignment="1">
      <alignment horizontal="center" vertical="center" wrapText="1"/>
    </xf>
    <xf numFmtId="0" fontId="19" fillId="0" borderId="43" xfId="0" applyFont="1" applyBorder="1" applyAlignment="1">
      <alignment horizontal="center" vertical="center" wrapText="1"/>
    </xf>
    <xf numFmtId="0" fontId="19" fillId="13" borderId="29" xfId="0" applyFont="1" applyFill="1" applyBorder="1" applyAlignment="1">
      <alignment horizontal="justify" vertical="center" wrapText="1"/>
    </xf>
    <xf numFmtId="0" fontId="19" fillId="13" borderId="30" xfId="0" applyFont="1" applyFill="1" applyBorder="1" applyAlignment="1">
      <alignment horizontal="justify" vertical="center" wrapText="1"/>
    </xf>
    <xf numFmtId="0" fontId="19" fillId="13" borderId="36" xfId="0" applyFont="1" applyFill="1" applyBorder="1" applyAlignment="1">
      <alignment horizontal="justify" vertical="center" wrapText="1"/>
    </xf>
    <xf numFmtId="0" fontId="19" fillId="11" borderId="62" xfId="0" applyFont="1" applyFill="1" applyBorder="1" applyAlignment="1">
      <alignment horizontal="justify" vertical="center" wrapText="1"/>
    </xf>
    <xf numFmtId="0" fontId="19" fillId="11" borderId="31" xfId="0" applyFont="1" applyFill="1" applyBorder="1" applyAlignment="1">
      <alignment horizontal="justify" vertical="center" wrapText="1"/>
    </xf>
    <xf numFmtId="0" fontId="19" fillId="11" borderId="64" xfId="0" applyFont="1" applyFill="1" applyBorder="1" applyAlignment="1">
      <alignment horizontal="justify" vertical="center" wrapText="1"/>
    </xf>
    <xf numFmtId="0" fontId="19" fillId="11" borderId="58" xfId="0" applyFont="1" applyFill="1" applyBorder="1" applyAlignment="1">
      <alignment horizontal="justify" vertical="center" wrapText="1"/>
    </xf>
    <xf numFmtId="0" fontId="19" fillId="11" borderId="29" xfId="0" applyFont="1" applyFill="1" applyBorder="1" applyAlignment="1">
      <alignment horizontal="justify" vertical="center" wrapText="1"/>
    </xf>
    <xf numFmtId="0" fontId="19" fillId="11" borderId="30" xfId="0" applyFont="1" applyFill="1" applyBorder="1" applyAlignment="1">
      <alignment horizontal="justify" vertical="center" wrapText="1"/>
    </xf>
    <xf numFmtId="0" fontId="19" fillId="11" borderId="36" xfId="0" applyFont="1" applyFill="1" applyBorder="1" applyAlignment="1">
      <alignment horizontal="justify" vertical="center" wrapText="1"/>
    </xf>
    <xf numFmtId="0" fontId="19" fillId="0" borderId="23" xfId="0" applyFont="1" applyBorder="1" applyAlignment="1">
      <alignment horizontal="center" vertical="center" wrapText="1"/>
    </xf>
    <xf numFmtId="0" fontId="19" fillId="13" borderId="31" xfId="0" applyFont="1" applyFill="1" applyBorder="1" applyAlignment="1">
      <alignment horizontal="justify" vertical="center" wrapText="1"/>
    </xf>
    <xf numFmtId="0" fontId="20" fillId="0" borderId="28" xfId="0" applyFont="1" applyBorder="1" applyAlignment="1">
      <alignment horizontal="center" vertical="center" wrapText="1"/>
    </xf>
    <xf numFmtId="0" fontId="20" fillId="0" borderId="35" xfId="0" applyFont="1" applyBorder="1" applyAlignment="1">
      <alignment horizontal="center" vertical="center" wrapText="1"/>
    </xf>
    <xf numFmtId="0" fontId="20" fillId="0" borderId="33" xfId="0" applyFont="1" applyBorder="1" applyAlignment="1">
      <alignment horizontal="center" vertical="center" wrapText="1"/>
    </xf>
    <xf numFmtId="0" fontId="15" fillId="11" borderId="29" xfId="0" applyFont="1" applyFill="1" applyBorder="1" applyAlignment="1">
      <alignment vertical="center" wrapText="1"/>
    </xf>
    <xf numFmtId="0" fontId="15" fillId="11" borderId="31" xfId="0" applyFont="1" applyFill="1" applyBorder="1" applyAlignment="1">
      <alignment vertical="center" wrapText="1"/>
    </xf>
    <xf numFmtId="0" fontId="19" fillId="13" borderId="65" xfId="0" applyFont="1" applyFill="1" applyBorder="1" applyAlignment="1">
      <alignment horizontal="justify" vertical="center" wrapText="1"/>
    </xf>
    <xf numFmtId="0" fontId="19" fillId="13" borderId="55" xfId="0" applyFont="1" applyFill="1" applyBorder="1" applyAlignment="1">
      <alignment horizontal="justify" vertical="center" wrapText="1"/>
    </xf>
    <xf numFmtId="0" fontId="19" fillId="13" borderId="52" xfId="0" applyFont="1" applyFill="1" applyBorder="1" applyAlignment="1">
      <alignment horizontal="justify" vertical="center" wrapText="1"/>
    </xf>
    <xf numFmtId="0" fontId="19" fillId="11" borderId="16" xfId="0" applyFont="1" applyFill="1" applyBorder="1" applyAlignment="1">
      <alignment horizontal="justify" vertical="center" wrapText="1"/>
    </xf>
    <xf numFmtId="0" fontId="19" fillId="11" borderId="17" xfId="0" applyFont="1" applyFill="1" applyBorder="1" applyAlignment="1">
      <alignment horizontal="justify" vertical="center" wrapText="1"/>
    </xf>
    <xf numFmtId="0" fontId="19" fillId="13" borderId="62" xfId="0" applyFont="1" applyFill="1" applyBorder="1" applyAlignment="1">
      <alignment horizontal="justify" vertical="center" wrapText="1"/>
    </xf>
    <xf numFmtId="0" fontId="19" fillId="0" borderId="29" xfId="0" applyFont="1" applyBorder="1" applyAlignment="1">
      <alignment horizontal="justify" vertical="center" wrapText="1"/>
    </xf>
    <xf numFmtId="0" fontId="19" fillId="0" borderId="30" xfId="0" applyFont="1" applyBorder="1" applyAlignment="1">
      <alignment horizontal="justify" vertical="center" wrapText="1"/>
    </xf>
    <xf numFmtId="0" fontId="19" fillId="0" borderId="31" xfId="0" applyFont="1" applyBorder="1" applyAlignment="1">
      <alignment horizontal="justify" vertical="center" wrapText="1"/>
    </xf>
    <xf numFmtId="0" fontId="19" fillId="0" borderId="67" xfId="0" applyFont="1" applyBorder="1" applyAlignment="1">
      <alignment horizontal="justify" vertical="center" wrapText="1"/>
    </xf>
    <xf numFmtId="0" fontId="19" fillId="0" borderId="68" xfId="0" applyFont="1" applyBorder="1" applyAlignment="1">
      <alignment horizontal="justify" vertical="center" wrapText="1"/>
    </xf>
    <xf numFmtId="0" fontId="19" fillId="0" borderId="69" xfId="0" applyFont="1" applyBorder="1" applyAlignment="1">
      <alignment horizontal="justify" vertical="center" wrapText="1"/>
    </xf>
    <xf numFmtId="0" fontId="19" fillId="0" borderId="70" xfId="0" applyFont="1" applyBorder="1" applyAlignment="1">
      <alignment horizontal="justify" vertical="center" wrapText="1"/>
    </xf>
    <xf numFmtId="0" fontId="19" fillId="0" borderId="71" xfId="0" applyFont="1" applyBorder="1" applyAlignment="1">
      <alignment horizontal="justify" vertical="center" wrapText="1"/>
    </xf>
    <xf numFmtId="0" fontId="19" fillId="0" borderId="28" xfId="0" applyFont="1" applyBorder="1" applyAlignment="1">
      <alignment horizontal="left" vertical="center" wrapText="1"/>
    </xf>
    <xf numFmtId="0" fontId="19" fillId="0" borderId="35" xfId="0" applyFont="1" applyBorder="1" applyAlignment="1">
      <alignment horizontal="left" vertical="center" wrapText="1"/>
    </xf>
    <xf numFmtId="0" fontId="19" fillId="0" borderId="33" xfId="0" applyFont="1" applyBorder="1" applyAlignment="1">
      <alignment horizontal="left" vertical="center" wrapText="1"/>
    </xf>
    <xf numFmtId="0" fontId="14" fillId="0" borderId="64" xfId="0" applyFont="1" applyBorder="1" applyAlignment="1">
      <alignment horizontal="justify" vertical="center" wrapText="1"/>
    </xf>
    <xf numFmtId="0" fontId="14" fillId="0" borderId="16" xfId="0" applyFont="1" applyBorder="1" applyAlignment="1">
      <alignment horizontal="justify" vertical="center" wrapText="1"/>
    </xf>
    <xf numFmtId="0" fontId="14" fillId="0" borderId="17" xfId="0" applyFont="1" applyBorder="1" applyAlignment="1">
      <alignment horizontal="justify" vertical="center" wrapText="1"/>
    </xf>
    <xf numFmtId="0" fontId="17" fillId="0" borderId="42" xfId="0" applyFont="1" applyBorder="1" applyAlignment="1">
      <alignment horizontal="left" vertical="top" wrapText="1"/>
    </xf>
    <xf numFmtId="0" fontId="20" fillId="14" borderId="63" xfId="0" applyFont="1" applyFill="1" applyBorder="1" applyAlignment="1">
      <alignment vertical="center" wrapText="1"/>
    </xf>
    <xf numFmtId="0" fontId="20" fillId="14" borderId="53" xfId="0" applyFont="1" applyFill="1" applyBorder="1" applyAlignment="1">
      <alignment vertical="center" wrapText="1"/>
    </xf>
    <xf numFmtId="0" fontId="20" fillId="14" borderId="32" xfId="0" applyFont="1" applyFill="1" applyBorder="1" applyAlignment="1">
      <alignment vertical="center" wrapText="1"/>
    </xf>
    <xf numFmtId="0" fontId="14" fillId="14" borderId="59" xfId="0" applyFont="1" applyFill="1" applyBorder="1" applyAlignment="1">
      <alignment vertical="center" wrapText="1"/>
    </xf>
    <xf numFmtId="0" fontId="14" fillId="14" borderId="49" xfId="0" applyFont="1" applyFill="1" applyBorder="1" applyAlignment="1">
      <alignment vertical="center" wrapText="1"/>
    </xf>
    <xf numFmtId="0" fontId="14" fillId="14" borderId="24" xfId="0" applyFont="1" applyFill="1" applyBorder="1" applyAlignment="1">
      <alignment vertical="center" wrapText="1"/>
    </xf>
    <xf numFmtId="0" fontId="14" fillId="11" borderId="28" xfId="0" applyFont="1" applyFill="1" applyBorder="1" applyAlignment="1">
      <alignment horizontal="center" vertical="center"/>
    </xf>
    <xf numFmtId="0" fontId="14" fillId="11" borderId="40" xfId="0" applyFont="1" applyFill="1" applyBorder="1" applyAlignment="1">
      <alignment horizontal="center" vertical="center"/>
    </xf>
  </cellXfs>
  <cellStyles count="124">
    <cellStyle name="Lien hypertexte" xfId="1" builtinId="8" hidden="1"/>
    <cellStyle name="Lien hypertexte" xfId="3" builtinId="8" hidden="1"/>
    <cellStyle name="Lien hypertexte" xfId="5" builtinId="8" hidden="1"/>
    <cellStyle name="Lien hypertexte" xfId="7" builtinId="8" hidden="1"/>
    <cellStyle name="Lien hypertexte" xfId="9" builtinId="8" hidden="1"/>
    <cellStyle name="Lien hypertexte" xfId="11" builtinId="8" hidden="1"/>
    <cellStyle name="Lien hypertexte" xfId="13" builtinId="8" hidden="1"/>
    <cellStyle name="Lien hypertexte" xfId="15" builtinId="8" hidden="1"/>
    <cellStyle name="Lien hypertexte" xfId="17" builtinId="8" hidden="1"/>
    <cellStyle name="Lien hypertexte" xfId="19" builtinId="8" hidden="1"/>
    <cellStyle name="Lien hypertexte" xfId="21" builtinId="8" hidden="1"/>
    <cellStyle name="Lien hypertexte" xfId="23" builtinId="8" hidden="1"/>
    <cellStyle name="Lien hypertexte" xfId="25" builtinId="8" hidden="1"/>
    <cellStyle name="Lien hypertexte" xfId="27" builtinId="8" hidden="1"/>
    <cellStyle name="Lien hypertexte" xfId="29" builtinId="8" hidden="1"/>
    <cellStyle name="Lien hypertexte" xfId="31" builtinId="8" hidden="1"/>
    <cellStyle name="Lien hypertexte" xfId="33" builtinId="8" hidden="1"/>
    <cellStyle name="Lien hypertexte" xfId="35" builtinId="8" hidden="1"/>
    <cellStyle name="Lien hypertexte" xfId="37" builtinId="8" hidden="1"/>
    <cellStyle name="Lien hypertexte" xfId="39" builtinId="8" hidden="1"/>
    <cellStyle name="Lien hypertexte" xfId="41" builtinId="8" hidden="1"/>
    <cellStyle name="Lien hypertexte" xfId="43" builtinId="8" hidden="1"/>
    <cellStyle name="Lien hypertexte" xfId="45" builtinId="8" hidden="1"/>
    <cellStyle name="Lien hypertexte" xfId="47" builtinId="8" hidden="1"/>
    <cellStyle name="Lien hypertexte" xfId="49" builtinId="8" hidden="1"/>
    <cellStyle name="Lien hypertexte" xfId="51" builtinId="8" hidden="1"/>
    <cellStyle name="Lien hypertexte" xfId="53" builtinId="8" hidden="1"/>
    <cellStyle name="Lien hypertexte" xfId="55" builtinId="8" hidden="1"/>
    <cellStyle name="Lien hypertexte" xfId="57" builtinId="8" hidden="1"/>
    <cellStyle name="Lien hypertexte" xfId="59" builtinId="8" hidden="1"/>
    <cellStyle name="Lien hypertexte" xfId="61" builtinId="8" hidden="1"/>
    <cellStyle name="Lien hypertexte" xfId="63" builtinId="8" hidden="1"/>
    <cellStyle name="Lien hypertexte" xfId="65" builtinId="8" hidden="1"/>
    <cellStyle name="Lien hypertexte" xfId="67" builtinId="8" hidden="1"/>
    <cellStyle name="Lien hypertexte" xfId="69" builtinId="8" hidden="1"/>
    <cellStyle name="Lien hypertexte" xfId="71" builtinId="8" hidden="1"/>
    <cellStyle name="Lien hypertexte" xfId="73" builtinId="8" hidden="1"/>
    <cellStyle name="Lien hypertexte" xfId="75" builtinId="8" hidden="1"/>
    <cellStyle name="Lien hypertexte" xfId="77" builtinId="8" hidden="1"/>
    <cellStyle name="Lien hypertexte" xfId="79" builtinId="8" hidden="1"/>
    <cellStyle name="Lien hypertexte" xfId="81" builtinId="8" hidden="1"/>
    <cellStyle name="Lien hypertexte" xfId="83" builtinId="8" hidden="1"/>
    <cellStyle name="Lien hypertexte" xfId="85" builtinId="8" hidden="1"/>
    <cellStyle name="Lien hypertexte" xfId="87" builtinId="8" hidden="1"/>
    <cellStyle name="Lien hypertexte" xfId="89" builtinId="8" hidden="1"/>
    <cellStyle name="Lien hypertexte" xfId="91" builtinId="8" hidden="1"/>
    <cellStyle name="Lien hypertexte" xfId="93" builtinId="8" hidden="1"/>
    <cellStyle name="Lien hypertexte" xfId="95" builtinId="8" hidden="1"/>
    <cellStyle name="Lien hypertexte" xfId="97" builtinId="8" hidden="1"/>
    <cellStyle name="Lien hypertexte" xfId="99" builtinId="8" hidden="1"/>
    <cellStyle name="Lien hypertexte" xfId="101" builtinId="8" hidden="1"/>
    <cellStyle name="Lien hypertexte" xfId="103" builtinId="8" hidden="1"/>
    <cellStyle name="Lien hypertexte" xfId="105" builtinId="8" hidden="1"/>
    <cellStyle name="Lien hypertexte" xfId="107" builtinId="8" hidden="1"/>
    <cellStyle name="Lien hypertexte" xfId="109" builtinId="8" hidden="1"/>
    <cellStyle name="Lien hypertexte" xfId="111" builtinId="8" hidden="1"/>
    <cellStyle name="Lien hypertexte" xfId="113" builtinId="8" hidden="1"/>
    <cellStyle name="Lien hypertexte" xfId="115" builtinId="8" hidden="1"/>
    <cellStyle name="Lien hypertexte" xfId="117" builtinId="8" hidden="1"/>
    <cellStyle name="Lien hypertexte" xfId="119" builtinId="8" hidden="1"/>
    <cellStyle name="Lien hypertexte" xfId="121" builtinId="8" hidden="1"/>
    <cellStyle name="Lien hypertexte" xfId="123" builtinId="8"/>
    <cellStyle name="Lien hypertexte visité" xfId="2" builtinId="9" hidden="1"/>
    <cellStyle name="Lien hypertexte visité" xfId="4" builtinId="9" hidden="1"/>
    <cellStyle name="Lien hypertexte visité" xfId="6" builtinId="9" hidden="1"/>
    <cellStyle name="Lien hypertexte visité" xfId="8" builtinId="9" hidden="1"/>
    <cellStyle name="Lien hypertexte visité" xfId="10" builtinId="9" hidden="1"/>
    <cellStyle name="Lien hypertexte visité" xfId="12" builtinId="9" hidden="1"/>
    <cellStyle name="Lien hypertexte visité" xfId="14" builtinId="9" hidden="1"/>
    <cellStyle name="Lien hypertexte visité" xfId="16" builtinId="9" hidden="1"/>
    <cellStyle name="Lien hypertexte visité" xfId="18" builtinId="9" hidden="1"/>
    <cellStyle name="Lien hypertexte visité" xfId="20" builtinId="9" hidden="1"/>
    <cellStyle name="Lien hypertexte visité" xfId="22" builtinId="9" hidden="1"/>
    <cellStyle name="Lien hypertexte visité" xfId="24" builtinId="9" hidden="1"/>
    <cellStyle name="Lien hypertexte visité" xfId="26" builtinId="9" hidden="1"/>
    <cellStyle name="Lien hypertexte visité" xfId="28" builtinId="9" hidden="1"/>
    <cellStyle name="Lien hypertexte visité" xfId="30" builtinId="9" hidden="1"/>
    <cellStyle name="Lien hypertexte visité" xfId="32" builtinId="9" hidden="1"/>
    <cellStyle name="Lien hypertexte visité" xfId="34" builtinId="9" hidden="1"/>
    <cellStyle name="Lien hypertexte visité" xfId="36" builtinId="9" hidden="1"/>
    <cellStyle name="Lien hypertexte visité" xfId="38" builtinId="9" hidden="1"/>
    <cellStyle name="Lien hypertexte visité" xfId="40" builtinId="9" hidden="1"/>
    <cellStyle name="Lien hypertexte visité" xfId="42" builtinId="9" hidden="1"/>
    <cellStyle name="Lien hypertexte visité" xfId="44" builtinId="9" hidden="1"/>
    <cellStyle name="Lien hypertexte visité" xfId="46" builtinId="9" hidden="1"/>
    <cellStyle name="Lien hypertexte visité" xfId="48" builtinId="9" hidden="1"/>
    <cellStyle name="Lien hypertexte visité" xfId="50" builtinId="9" hidden="1"/>
    <cellStyle name="Lien hypertexte visité" xfId="52" builtinId="9" hidden="1"/>
    <cellStyle name="Lien hypertexte visité" xfId="54" builtinId="9" hidden="1"/>
    <cellStyle name="Lien hypertexte visité" xfId="56" builtinId="9" hidden="1"/>
    <cellStyle name="Lien hypertexte visité" xfId="58" builtinId="9" hidden="1"/>
    <cellStyle name="Lien hypertexte visité" xfId="60" builtinId="9" hidden="1"/>
    <cellStyle name="Lien hypertexte visité" xfId="62" builtinId="9" hidden="1"/>
    <cellStyle name="Lien hypertexte visité" xfId="64" builtinId="9" hidden="1"/>
    <cellStyle name="Lien hypertexte visité" xfId="66" builtinId="9" hidden="1"/>
    <cellStyle name="Lien hypertexte visité" xfId="68" builtinId="9" hidden="1"/>
    <cellStyle name="Lien hypertexte visité" xfId="70" builtinId="9" hidden="1"/>
    <cellStyle name="Lien hypertexte visité" xfId="72" builtinId="9" hidden="1"/>
    <cellStyle name="Lien hypertexte visité" xfId="74" builtinId="9" hidden="1"/>
    <cellStyle name="Lien hypertexte visité" xfId="76" builtinId="9" hidden="1"/>
    <cellStyle name="Lien hypertexte visité" xfId="78" builtinId="9" hidden="1"/>
    <cellStyle name="Lien hypertexte visité" xfId="80" builtinId="9" hidden="1"/>
    <cellStyle name="Lien hypertexte visité" xfId="82" builtinId="9" hidden="1"/>
    <cellStyle name="Lien hypertexte visité" xfId="84" builtinId="9" hidden="1"/>
    <cellStyle name="Lien hypertexte visité" xfId="86" builtinId="9" hidden="1"/>
    <cellStyle name="Lien hypertexte visité" xfId="88" builtinId="9" hidden="1"/>
    <cellStyle name="Lien hypertexte visité" xfId="90" builtinId="9" hidden="1"/>
    <cellStyle name="Lien hypertexte visité" xfId="92" builtinId="9" hidden="1"/>
    <cellStyle name="Lien hypertexte visité" xfId="94" builtinId="9" hidden="1"/>
    <cellStyle name="Lien hypertexte visité" xfId="96" builtinId="9" hidden="1"/>
    <cellStyle name="Lien hypertexte visité" xfId="98" builtinId="9" hidden="1"/>
    <cellStyle name="Lien hypertexte visité" xfId="100" builtinId="9" hidden="1"/>
    <cellStyle name="Lien hypertexte visité" xfId="102" builtinId="9" hidden="1"/>
    <cellStyle name="Lien hypertexte visité" xfId="104" builtinId="9" hidden="1"/>
    <cellStyle name="Lien hypertexte visité" xfId="106" builtinId="9" hidden="1"/>
    <cellStyle name="Lien hypertexte visité" xfId="108" builtinId="9" hidden="1"/>
    <cellStyle name="Lien hypertexte visité" xfId="110" builtinId="9" hidden="1"/>
    <cellStyle name="Lien hypertexte visité" xfId="112" builtinId="9" hidden="1"/>
    <cellStyle name="Lien hypertexte visité" xfId="114" builtinId="9" hidden="1"/>
    <cellStyle name="Lien hypertexte visité" xfId="116" builtinId="9" hidden="1"/>
    <cellStyle name="Lien hypertexte visité" xfId="118" builtinId="9" hidden="1"/>
    <cellStyle name="Lien hypertexte visité" xfId="120" builtinId="9" hidden="1"/>
    <cellStyle name="Lien hypertexte visité" xfId="122" builtinId="9" hidden="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8000"/>
    <pageSetUpPr fitToPage="1"/>
  </sheetPr>
  <dimension ref="A1:BD1478"/>
  <sheetViews>
    <sheetView zoomScale="80" zoomScaleNormal="80" zoomScalePageLayoutView="150" workbookViewId="0">
      <pane ySplit="2" topLeftCell="A102" activePane="bottomLeft" state="frozen"/>
      <selection pane="bottomLeft" activeCell="I52" sqref="I52:J52"/>
    </sheetView>
  </sheetViews>
  <sheetFormatPr baseColWidth="10" defaultColWidth="10.8984375" defaultRowHeight="15.6"/>
  <cols>
    <col min="1" max="1" width="13.3984375" style="1" customWidth="1"/>
    <col min="2" max="2" width="8.8984375" style="1" customWidth="1"/>
    <col min="3" max="3" width="26" style="1" customWidth="1"/>
    <col min="4" max="4" width="10.09765625" style="1" customWidth="1"/>
    <col min="5" max="5" width="35.09765625" style="1" customWidth="1"/>
    <col min="6" max="6" width="10.59765625" style="1" customWidth="1"/>
    <col min="7" max="7" width="20.59765625" style="1" customWidth="1"/>
    <col min="8" max="8" width="15.3984375" style="77" customWidth="1"/>
    <col min="9" max="15" width="15.3984375" style="2" customWidth="1"/>
    <col min="16" max="16" width="52.59765625" style="7" customWidth="1"/>
    <col min="17" max="56" width="10.8984375" style="10"/>
    <col min="57" max="16384" width="10.8984375" style="1"/>
  </cols>
  <sheetData>
    <row r="1" spans="1:16" ht="46.5" customHeight="1">
      <c r="A1" s="32" t="s">
        <v>8</v>
      </c>
      <c r="B1" s="32" t="s">
        <v>9</v>
      </c>
      <c r="C1" s="34" t="s">
        <v>10</v>
      </c>
      <c r="D1" s="196" t="s">
        <v>11</v>
      </c>
      <c r="E1" s="197"/>
      <c r="F1" s="198" t="s">
        <v>22</v>
      </c>
      <c r="G1" s="199"/>
      <c r="H1" s="12" t="s">
        <v>168</v>
      </c>
      <c r="I1" s="12" t="s">
        <v>72</v>
      </c>
      <c r="J1" s="12" t="s">
        <v>32</v>
      </c>
      <c r="K1" s="12"/>
      <c r="L1" s="12"/>
      <c r="M1" s="12"/>
      <c r="N1" s="12"/>
      <c r="O1" s="12"/>
      <c r="P1" s="31"/>
    </row>
    <row r="2" spans="1:16" ht="31.2">
      <c r="A2" s="33"/>
      <c r="B2" s="33"/>
      <c r="C2" s="35"/>
      <c r="D2" s="36"/>
      <c r="E2" s="35"/>
      <c r="F2" s="37" t="s">
        <v>12</v>
      </c>
      <c r="G2" s="37" t="s">
        <v>0</v>
      </c>
      <c r="H2" s="27"/>
      <c r="I2" s="27"/>
      <c r="J2" s="27"/>
      <c r="K2" s="27" t="s">
        <v>83</v>
      </c>
      <c r="L2" s="3" t="s">
        <v>5</v>
      </c>
      <c r="M2" s="3" t="s">
        <v>6</v>
      </c>
      <c r="N2" s="3" t="s">
        <v>7</v>
      </c>
      <c r="O2" s="16" t="s">
        <v>31</v>
      </c>
      <c r="P2" s="31"/>
    </row>
    <row r="3" spans="1:16" ht="33" customHeight="1">
      <c r="A3" s="209" t="s">
        <v>19</v>
      </c>
      <c r="B3" s="209" t="s">
        <v>14</v>
      </c>
      <c r="C3" s="209" t="s">
        <v>20</v>
      </c>
      <c r="D3" s="212" t="s">
        <v>21</v>
      </c>
      <c r="E3" s="209" t="s">
        <v>111</v>
      </c>
      <c r="F3" s="11">
        <v>71200</v>
      </c>
      <c r="G3" s="4" t="s">
        <v>33</v>
      </c>
      <c r="H3" s="69" t="s">
        <v>32</v>
      </c>
      <c r="I3" s="47">
        <f>K3-J3</f>
        <v>0</v>
      </c>
      <c r="J3" s="47">
        <f>K3</f>
        <v>9800</v>
      </c>
      <c r="K3" s="129">
        <f>SUM(L3:O3)</f>
        <v>9800</v>
      </c>
      <c r="L3" s="51">
        <f>700*2*7</f>
        <v>9800</v>
      </c>
      <c r="M3" s="51">
        <v>0</v>
      </c>
      <c r="N3" s="51">
        <v>0</v>
      </c>
      <c r="O3" s="51">
        <v>0</v>
      </c>
      <c r="P3" s="25" t="s">
        <v>125</v>
      </c>
    </row>
    <row r="4" spans="1:16" ht="33" customHeight="1">
      <c r="A4" s="210"/>
      <c r="B4" s="210"/>
      <c r="C4" s="210"/>
      <c r="D4" s="213"/>
      <c r="E4" s="210"/>
      <c r="F4" s="11">
        <v>71300</v>
      </c>
      <c r="G4" s="9" t="s">
        <v>34</v>
      </c>
      <c r="H4" s="69" t="s">
        <v>72</v>
      </c>
      <c r="I4" s="47">
        <f t="shared" ref="I4:I70" si="0">K4-J4</f>
        <v>6000</v>
      </c>
      <c r="J4" s="47">
        <v>0</v>
      </c>
      <c r="K4" s="129">
        <f t="shared" ref="K4:K70" si="1">SUM(L4:O4)</f>
        <v>6000</v>
      </c>
      <c r="L4" s="51">
        <f>5*300</f>
        <v>1500</v>
      </c>
      <c r="M4" s="51">
        <f t="shared" ref="M4:O4" si="2">5*300</f>
        <v>1500</v>
      </c>
      <c r="N4" s="51">
        <f t="shared" si="2"/>
        <v>1500</v>
      </c>
      <c r="O4" s="51">
        <f t="shared" si="2"/>
        <v>1500</v>
      </c>
      <c r="P4" s="25" t="s">
        <v>123</v>
      </c>
    </row>
    <row r="5" spans="1:16" ht="119.1" customHeight="1">
      <c r="A5" s="210"/>
      <c r="B5" s="210"/>
      <c r="C5" s="210"/>
      <c r="D5" s="213"/>
      <c r="E5" s="210"/>
      <c r="F5" s="11">
        <v>71600</v>
      </c>
      <c r="G5" s="4" t="s">
        <v>18</v>
      </c>
      <c r="H5" s="69" t="s">
        <v>72</v>
      </c>
      <c r="I5" s="47">
        <f t="shared" si="0"/>
        <v>10010</v>
      </c>
      <c r="J5" s="47">
        <v>0</v>
      </c>
      <c r="K5" s="130">
        <f t="shared" si="1"/>
        <v>10010</v>
      </c>
      <c r="L5" s="51">
        <f>5*2*281+2*2*800+200*5</f>
        <v>7010</v>
      </c>
      <c r="M5" s="51">
        <f>5*200</f>
        <v>1000</v>
      </c>
      <c r="N5" s="51">
        <f>5*200</f>
        <v>1000</v>
      </c>
      <c r="O5" s="51">
        <f>5*200</f>
        <v>1000</v>
      </c>
      <c r="P5" s="50" t="s">
        <v>124</v>
      </c>
    </row>
    <row r="6" spans="1:16" ht="132" customHeight="1">
      <c r="A6" s="210"/>
      <c r="B6" s="210"/>
      <c r="C6" s="210"/>
      <c r="D6" s="213"/>
      <c r="E6" s="210"/>
      <c r="F6" s="11">
        <v>75700</v>
      </c>
      <c r="G6" s="4" t="s">
        <v>40</v>
      </c>
      <c r="H6" s="69" t="s">
        <v>72</v>
      </c>
      <c r="I6" s="47">
        <f t="shared" si="0"/>
        <v>6000</v>
      </c>
      <c r="J6" s="47">
        <v>0</v>
      </c>
      <c r="K6" s="129">
        <f t="shared" si="1"/>
        <v>6000</v>
      </c>
      <c r="L6" s="51">
        <v>1500</v>
      </c>
      <c r="M6" s="51">
        <v>1500</v>
      </c>
      <c r="N6" s="51">
        <v>1500</v>
      </c>
      <c r="O6" s="51">
        <v>1500</v>
      </c>
      <c r="P6" s="25" t="s">
        <v>122</v>
      </c>
    </row>
    <row r="7" spans="1:16" ht="48.9" customHeight="1">
      <c r="A7" s="210"/>
      <c r="B7" s="210"/>
      <c r="C7" s="210"/>
      <c r="D7" s="209" t="s">
        <v>54</v>
      </c>
      <c r="E7" s="209" t="s">
        <v>51</v>
      </c>
      <c r="F7" s="11">
        <v>71200</v>
      </c>
      <c r="G7" s="4" t="s">
        <v>33</v>
      </c>
      <c r="H7" s="69" t="s">
        <v>72</v>
      </c>
      <c r="I7" s="47">
        <f t="shared" si="0"/>
        <v>8400</v>
      </c>
      <c r="J7" s="47">
        <v>0</v>
      </c>
      <c r="K7" s="129">
        <f t="shared" si="1"/>
        <v>8400</v>
      </c>
      <c r="L7" s="51">
        <f>700*12</f>
        <v>8400</v>
      </c>
      <c r="M7" s="51">
        <v>0</v>
      </c>
      <c r="N7" s="51">
        <v>0</v>
      </c>
      <c r="O7" s="51">
        <v>0</v>
      </c>
      <c r="P7" s="25" t="s">
        <v>126</v>
      </c>
    </row>
    <row r="8" spans="1:16" ht="54.9" customHeight="1">
      <c r="A8" s="210"/>
      <c r="B8" s="210"/>
      <c r="C8" s="210"/>
      <c r="D8" s="210"/>
      <c r="E8" s="210"/>
      <c r="F8" s="11">
        <v>71300</v>
      </c>
      <c r="G8" s="9" t="s">
        <v>34</v>
      </c>
      <c r="H8" s="69" t="s">
        <v>72</v>
      </c>
      <c r="I8" s="47">
        <f t="shared" si="0"/>
        <v>6000</v>
      </c>
      <c r="J8" s="47">
        <v>0</v>
      </c>
      <c r="K8" s="129">
        <f t="shared" si="1"/>
        <v>6000</v>
      </c>
      <c r="L8" s="51">
        <f>300*20</f>
        <v>6000</v>
      </c>
      <c r="M8" s="51">
        <v>0</v>
      </c>
      <c r="N8" s="51">
        <v>0</v>
      </c>
      <c r="O8" s="51">
        <v>0</v>
      </c>
      <c r="P8" s="25" t="s">
        <v>127</v>
      </c>
    </row>
    <row r="9" spans="1:16" ht="132.9" customHeight="1">
      <c r="A9" s="210"/>
      <c r="B9" s="210"/>
      <c r="C9" s="210"/>
      <c r="D9" s="210"/>
      <c r="E9" s="210"/>
      <c r="F9" s="11">
        <v>71600</v>
      </c>
      <c r="G9" s="4" t="s">
        <v>18</v>
      </c>
      <c r="H9" s="69" t="s">
        <v>72</v>
      </c>
      <c r="I9" s="47">
        <f t="shared" si="0"/>
        <v>4024</v>
      </c>
      <c r="J9" s="47">
        <v>0</v>
      </c>
      <c r="K9" s="129">
        <f t="shared" si="1"/>
        <v>4024</v>
      </c>
      <c r="L9" s="51">
        <f>4*281+1500+20*70</f>
        <v>4024</v>
      </c>
      <c r="M9" s="51">
        <v>0</v>
      </c>
      <c r="N9" s="51">
        <v>0</v>
      </c>
      <c r="O9" s="51">
        <v>0</v>
      </c>
      <c r="P9" s="25" t="s">
        <v>260</v>
      </c>
    </row>
    <row r="10" spans="1:16" ht="60" customHeight="1">
      <c r="A10" s="210"/>
      <c r="B10" s="210"/>
      <c r="C10" s="210"/>
      <c r="D10" s="210"/>
      <c r="E10" s="210"/>
      <c r="F10" s="11">
        <v>75700</v>
      </c>
      <c r="G10" s="4" t="s">
        <v>40</v>
      </c>
      <c r="H10" s="69" t="s">
        <v>72</v>
      </c>
      <c r="I10" s="47">
        <f t="shared" si="0"/>
        <v>5000</v>
      </c>
      <c r="J10" s="47">
        <v>0</v>
      </c>
      <c r="K10" s="129">
        <f t="shared" si="1"/>
        <v>5000</v>
      </c>
      <c r="L10" s="51">
        <f>2*2500</f>
        <v>5000</v>
      </c>
      <c r="M10" s="51">
        <v>0</v>
      </c>
      <c r="N10" s="51">
        <v>0</v>
      </c>
      <c r="O10" s="51">
        <v>0</v>
      </c>
      <c r="P10" s="25" t="s">
        <v>128</v>
      </c>
    </row>
    <row r="11" spans="1:16" ht="96" customHeight="1">
      <c r="A11" s="210"/>
      <c r="B11" s="210"/>
      <c r="C11" s="210"/>
      <c r="D11" s="209" t="s">
        <v>55</v>
      </c>
      <c r="E11" s="209" t="s">
        <v>53</v>
      </c>
      <c r="F11" s="11">
        <v>71200</v>
      </c>
      <c r="G11" s="4" t="s">
        <v>33</v>
      </c>
      <c r="H11" s="69" t="s">
        <v>32</v>
      </c>
      <c r="I11" s="47">
        <f t="shared" si="0"/>
        <v>0</v>
      </c>
      <c r="J11" s="47">
        <f>K11</f>
        <v>14000</v>
      </c>
      <c r="K11" s="129">
        <f t="shared" si="1"/>
        <v>14000</v>
      </c>
      <c r="L11" s="51">
        <f>8*700</f>
        <v>5600</v>
      </c>
      <c r="M11" s="51">
        <f>8*700</f>
        <v>5600</v>
      </c>
      <c r="N11" s="51">
        <f>4*700</f>
        <v>2800</v>
      </c>
      <c r="O11" s="51">
        <v>0</v>
      </c>
      <c r="P11" s="25" t="s">
        <v>301</v>
      </c>
    </row>
    <row r="12" spans="1:16" ht="57" customHeight="1">
      <c r="A12" s="210"/>
      <c r="B12" s="210"/>
      <c r="C12" s="210"/>
      <c r="D12" s="210"/>
      <c r="E12" s="210"/>
      <c r="F12" s="11">
        <v>71300</v>
      </c>
      <c r="G12" s="9" t="s">
        <v>34</v>
      </c>
      <c r="H12" s="69" t="s">
        <v>72</v>
      </c>
      <c r="I12" s="47">
        <f t="shared" si="0"/>
        <v>6000</v>
      </c>
      <c r="J12" s="47">
        <v>0</v>
      </c>
      <c r="K12" s="129">
        <f t="shared" si="1"/>
        <v>6000</v>
      </c>
      <c r="L12" s="51">
        <f>8*300</f>
        <v>2400</v>
      </c>
      <c r="M12" s="51">
        <f>8*300</f>
        <v>2400</v>
      </c>
      <c r="N12" s="51">
        <f>4*300</f>
        <v>1200</v>
      </c>
      <c r="O12" s="51">
        <v>0</v>
      </c>
      <c r="P12" s="25" t="s">
        <v>302</v>
      </c>
    </row>
    <row r="13" spans="1:16" ht="128.1" customHeight="1">
      <c r="A13" s="210"/>
      <c r="B13" s="210"/>
      <c r="C13" s="210"/>
      <c r="D13" s="210"/>
      <c r="E13" s="210"/>
      <c r="F13" s="11">
        <v>71600</v>
      </c>
      <c r="G13" s="4" t="s">
        <v>18</v>
      </c>
      <c r="H13" s="69" t="s">
        <v>72</v>
      </c>
      <c r="I13" s="47">
        <f t="shared" si="0"/>
        <v>12763</v>
      </c>
      <c r="J13" s="47">
        <v>0</v>
      </c>
      <c r="K13" s="129">
        <f t="shared" si="1"/>
        <v>12763</v>
      </c>
      <c r="L13" s="51">
        <f>9*281+30*20+1500</f>
        <v>4629</v>
      </c>
      <c r="M13" s="51">
        <f>9*281+30*20+1500</f>
        <v>4629</v>
      </c>
      <c r="N13" s="51">
        <f>5*281+30*20+1500</f>
        <v>3505</v>
      </c>
      <c r="O13" s="51">
        <v>0</v>
      </c>
      <c r="P13" s="25" t="s">
        <v>303</v>
      </c>
    </row>
    <row r="14" spans="1:16" ht="42" customHeight="1">
      <c r="A14" s="210"/>
      <c r="B14" s="210"/>
      <c r="C14" s="210"/>
      <c r="D14" s="210"/>
      <c r="E14" s="210"/>
      <c r="F14" s="11">
        <v>72300</v>
      </c>
      <c r="G14" s="4" t="s">
        <v>36</v>
      </c>
      <c r="H14" s="69" t="s">
        <v>72</v>
      </c>
      <c r="I14" s="47">
        <f t="shared" si="0"/>
        <v>3000</v>
      </c>
      <c r="J14" s="56">
        <v>0</v>
      </c>
      <c r="K14" s="129">
        <f t="shared" si="1"/>
        <v>3000</v>
      </c>
      <c r="L14" s="134">
        <v>1000</v>
      </c>
      <c r="M14" s="134">
        <v>1000</v>
      </c>
      <c r="N14" s="134">
        <v>1000</v>
      </c>
      <c r="O14" s="134">
        <v>0</v>
      </c>
      <c r="P14" s="25" t="s">
        <v>304</v>
      </c>
    </row>
    <row r="15" spans="1:16" ht="41.1" customHeight="1">
      <c r="A15" s="210"/>
      <c r="B15" s="210"/>
      <c r="C15" s="210"/>
      <c r="D15" s="210"/>
      <c r="E15" s="210"/>
      <c r="F15" s="11">
        <v>72500</v>
      </c>
      <c r="G15" s="4" t="s">
        <v>37</v>
      </c>
      <c r="H15" s="69" t="s">
        <v>72</v>
      </c>
      <c r="I15" s="47">
        <f t="shared" si="0"/>
        <v>3000</v>
      </c>
      <c r="J15" s="56">
        <v>0</v>
      </c>
      <c r="K15" s="129">
        <f t="shared" si="1"/>
        <v>3000</v>
      </c>
      <c r="L15" s="134">
        <v>1000</v>
      </c>
      <c r="M15" s="134">
        <v>1000</v>
      </c>
      <c r="N15" s="134">
        <v>1000</v>
      </c>
      <c r="O15" s="134">
        <v>0</v>
      </c>
      <c r="P15" s="25" t="s">
        <v>305</v>
      </c>
    </row>
    <row r="16" spans="1:16" ht="33" customHeight="1">
      <c r="A16" s="210"/>
      <c r="B16" s="210"/>
      <c r="C16" s="210"/>
      <c r="D16" s="210"/>
      <c r="E16" s="210"/>
      <c r="F16" s="11">
        <v>75700</v>
      </c>
      <c r="G16" s="4" t="s">
        <v>40</v>
      </c>
      <c r="H16" s="69" t="s">
        <v>72</v>
      </c>
      <c r="I16" s="47">
        <f t="shared" si="0"/>
        <v>7000</v>
      </c>
      <c r="J16" s="47">
        <v>0</v>
      </c>
      <c r="K16" s="129">
        <f t="shared" si="1"/>
        <v>7000</v>
      </c>
      <c r="L16" s="51">
        <v>2500</v>
      </c>
      <c r="M16" s="51">
        <v>2500</v>
      </c>
      <c r="N16" s="51">
        <v>2000</v>
      </c>
      <c r="O16" s="51">
        <v>0</v>
      </c>
      <c r="P16" s="25" t="s">
        <v>306</v>
      </c>
    </row>
    <row r="17" spans="1:16" ht="89.1" customHeight="1">
      <c r="A17" s="210"/>
      <c r="B17" s="210"/>
      <c r="C17" s="210"/>
      <c r="D17" s="209" t="s">
        <v>56</v>
      </c>
      <c r="E17" s="209" t="s">
        <v>50</v>
      </c>
      <c r="F17" s="11">
        <v>71200</v>
      </c>
      <c r="G17" s="4" t="s">
        <v>33</v>
      </c>
      <c r="H17" s="69" t="s">
        <v>72</v>
      </c>
      <c r="I17" s="47">
        <f t="shared" si="0"/>
        <v>14000</v>
      </c>
      <c r="J17" s="47">
        <v>0</v>
      </c>
      <c r="K17" s="129">
        <f t="shared" si="1"/>
        <v>14000</v>
      </c>
      <c r="L17" s="51">
        <f>5*700</f>
        <v>3500</v>
      </c>
      <c r="M17" s="51">
        <f>15*700</f>
        <v>10500</v>
      </c>
      <c r="N17" s="51">
        <v>0</v>
      </c>
      <c r="O17" s="51">
        <v>0</v>
      </c>
      <c r="P17" s="25" t="s">
        <v>129</v>
      </c>
    </row>
    <row r="18" spans="1:16" ht="60.9" customHeight="1">
      <c r="A18" s="210"/>
      <c r="B18" s="210"/>
      <c r="C18" s="210"/>
      <c r="D18" s="210"/>
      <c r="E18" s="210"/>
      <c r="F18" s="11">
        <v>71300</v>
      </c>
      <c r="G18" s="9" t="s">
        <v>34</v>
      </c>
      <c r="H18" s="69" t="s">
        <v>72</v>
      </c>
      <c r="I18" s="47">
        <f t="shared" si="0"/>
        <v>6000</v>
      </c>
      <c r="J18" s="47">
        <v>0</v>
      </c>
      <c r="K18" s="129">
        <f t="shared" si="1"/>
        <v>6000</v>
      </c>
      <c r="L18" s="51">
        <f>5*300</f>
        <v>1500</v>
      </c>
      <c r="M18" s="51">
        <f>15*300</f>
        <v>4500</v>
      </c>
      <c r="N18" s="51">
        <v>0</v>
      </c>
      <c r="O18" s="51">
        <v>0</v>
      </c>
      <c r="P18" s="25" t="s">
        <v>130</v>
      </c>
    </row>
    <row r="19" spans="1:16" ht="138.9" customHeight="1">
      <c r="A19" s="210"/>
      <c r="B19" s="210"/>
      <c r="C19" s="210"/>
      <c r="D19" s="210"/>
      <c r="E19" s="210"/>
      <c r="F19" s="11">
        <v>71600</v>
      </c>
      <c r="G19" s="4" t="s">
        <v>18</v>
      </c>
      <c r="H19" s="69" t="s">
        <v>72</v>
      </c>
      <c r="I19" s="47">
        <f t="shared" si="0"/>
        <v>10796</v>
      </c>
      <c r="J19" s="47">
        <v>0</v>
      </c>
      <c r="K19" s="129">
        <f t="shared" si="1"/>
        <v>10796</v>
      </c>
      <c r="L19" s="51">
        <f>4*281+30*20+1500</f>
        <v>3224</v>
      </c>
      <c r="M19" s="51">
        <f>12*281+30*20*2+3000</f>
        <v>7572</v>
      </c>
      <c r="N19" s="51">
        <v>0</v>
      </c>
      <c r="O19" s="51">
        <v>0</v>
      </c>
      <c r="P19" s="25" t="s">
        <v>134</v>
      </c>
    </row>
    <row r="20" spans="1:16" ht="41.1" customHeight="1">
      <c r="A20" s="210"/>
      <c r="B20" s="210"/>
      <c r="C20" s="210"/>
      <c r="D20" s="210"/>
      <c r="E20" s="210"/>
      <c r="F20" s="11">
        <v>72300</v>
      </c>
      <c r="G20" s="4" t="s">
        <v>36</v>
      </c>
      <c r="H20" s="69" t="s">
        <v>72</v>
      </c>
      <c r="I20" s="47">
        <f t="shared" si="0"/>
        <v>5000</v>
      </c>
      <c r="J20" s="47">
        <v>0</v>
      </c>
      <c r="K20" s="129">
        <f t="shared" si="1"/>
        <v>5000</v>
      </c>
      <c r="L20" s="51">
        <v>5000</v>
      </c>
      <c r="M20" s="51">
        <v>0</v>
      </c>
      <c r="N20" s="51">
        <v>0</v>
      </c>
      <c r="O20" s="51">
        <v>0</v>
      </c>
      <c r="P20" s="25" t="s">
        <v>133</v>
      </c>
    </row>
    <row r="21" spans="1:16" ht="33" customHeight="1">
      <c r="A21" s="210"/>
      <c r="B21" s="210"/>
      <c r="C21" s="210"/>
      <c r="D21" s="210"/>
      <c r="E21" s="210"/>
      <c r="F21" s="11">
        <v>74200</v>
      </c>
      <c r="G21" s="4" t="s">
        <v>38</v>
      </c>
      <c r="H21" s="69" t="s">
        <v>72</v>
      </c>
      <c r="I21" s="47">
        <f t="shared" si="0"/>
        <v>1000</v>
      </c>
      <c r="J21" s="47">
        <v>0</v>
      </c>
      <c r="K21" s="129">
        <f t="shared" si="1"/>
        <v>1000</v>
      </c>
      <c r="L21" s="51">
        <v>0</v>
      </c>
      <c r="M21" s="51">
        <v>1000</v>
      </c>
      <c r="N21" s="51">
        <v>0</v>
      </c>
      <c r="O21" s="51">
        <v>0</v>
      </c>
      <c r="P21" s="25" t="s">
        <v>132</v>
      </c>
    </row>
    <row r="22" spans="1:16" ht="41.1" customHeight="1">
      <c r="A22" s="210"/>
      <c r="B22" s="210"/>
      <c r="C22" s="210"/>
      <c r="D22" s="210"/>
      <c r="E22" s="210"/>
      <c r="F22" s="11">
        <v>75700</v>
      </c>
      <c r="G22" s="4" t="s">
        <v>40</v>
      </c>
      <c r="H22" s="69" t="s">
        <v>72</v>
      </c>
      <c r="I22" s="47">
        <f t="shared" si="0"/>
        <v>7500</v>
      </c>
      <c r="J22" s="47">
        <v>0</v>
      </c>
      <c r="K22" s="129">
        <f t="shared" si="1"/>
        <v>7500</v>
      </c>
      <c r="L22" s="51">
        <f>2500</f>
        <v>2500</v>
      </c>
      <c r="M22" s="51">
        <f>2*2500</f>
        <v>5000</v>
      </c>
      <c r="N22" s="51">
        <v>0</v>
      </c>
      <c r="O22" s="51">
        <v>0</v>
      </c>
      <c r="P22" s="25" t="s">
        <v>131</v>
      </c>
    </row>
    <row r="23" spans="1:16" ht="39.9" customHeight="1">
      <c r="A23" s="210"/>
      <c r="B23" s="210"/>
      <c r="C23" s="210"/>
      <c r="D23" s="210"/>
      <c r="E23" s="210"/>
      <c r="F23" s="11">
        <v>72800</v>
      </c>
      <c r="G23" s="4" t="s">
        <v>41</v>
      </c>
      <c r="H23" s="69" t="s">
        <v>72</v>
      </c>
      <c r="I23" s="47">
        <f t="shared" si="0"/>
        <v>8000</v>
      </c>
      <c r="J23" s="47">
        <v>0</v>
      </c>
      <c r="K23" s="129">
        <f t="shared" si="1"/>
        <v>8000</v>
      </c>
      <c r="L23" s="51">
        <f>8000</f>
        <v>8000</v>
      </c>
      <c r="M23" s="51">
        <v>0</v>
      </c>
      <c r="N23" s="51">
        <v>0</v>
      </c>
      <c r="O23" s="51">
        <v>0</v>
      </c>
      <c r="P23" s="25" t="s">
        <v>135</v>
      </c>
    </row>
    <row r="24" spans="1:16" ht="81.900000000000006" customHeight="1">
      <c r="A24" s="210"/>
      <c r="B24" s="210"/>
      <c r="C24" s="210"/>
      <c r="D24" s="209" t="s">
        <v>57</v>
      </c>
      <c r="E24" s="209" t="s">
        <v>52</v>
      </c>
      <c r="F24" s="11">
        <v>71200</v>
      </c>
      <c r="G24" s="4" t="s">
        <v>33</v>
      </c>
      <c r="H24" s="69" t="s">
        <v>72</v>
      </c>
      <c r="I24" s="47">
        <f t="shared" si="0"/>
        <v>7000</v>
      </c>
      <c r="J24" s="47">
        <v>0</v>
      </c>
      <c r="K24" s="129">
        <f t="shared" si="1"/>
        <v>7000</v>
      </c>
      <c r="L24" s="51">
        <f>5*700</f>
        <v>3500</v>
      </c>
      <c r="M24" s="51">
        <f>5*700</f>
        <v>3500</v>
      </c>
      <c r="N24" s="51">
        <v>0</v>
      </c>
      <c r="O24" s="51">
        <v>0</v>
      </c>
      <c r="P24" s="25" t="s">
        <v>136</v>
      </c>
    </row>
    <row r="25" spans="1:16" ht="54" customHeight="1">
      <c r="A25" s="210"/>
      <c r="B25" s="210"/>
      <c r="C25" s="210"/>
      <c r="D25" s="210"/>
      <c r="E25" s="210"/>
      <c r="F25" s="11">
        <v>71300</v>
      </c>
      <c r="G25" s="9" t="s">
        <v>34</v>
      </c>
      <c r="H25" s="69" t="s">
        <v>72</v>
      </c>
      <c r="I25" s="47">
        <f t="shared" si="0"/>
        <v>3000</v>
      </c>
      <c r="J25" s="47">
        <v>0</v>
      </c>
      <c r="K25" s="129">
        <f t="shared" si="1"/>
        <v>3000</v>
      </c>
      <c r="L25" s="51">
        <f>5*300</f>
        <v>1500</v>
      </c>
      <c r="M25" s="51">
        <f>5*300</f>
        <v>1500</v>
      </c>
      <c r="N25" s="51">
        <v>0</v>
      </c>
      <c r="O25" s="51">
        <v>0</v>
      </c>
      <c r="P25" s="25" t="s">
        <v>137</v>
      </c>
    </row>
    <row r="26" spans="1:16" ht="144" customHeight="1">
      <c r="A26" s="210"/>
      <c r="B26" s="210"/>
      <c r="C26" s="210"/>
      <c r="D26" s="210"/>
      <c r="E26" s="210"/>
      <c r="F26" s="11">
        <v>71600</v>
      </c>
      <c r="G26" s="4" t="s">
        <v>18</v>
      </c>
      <c r="H26" s="69" t="s">
        <v>72</v>
      </c>
      <c r="I26" s="47">
        <f t="shared" si="0"/>
        <v>7448</v>
      </c>
      <c r="J26" s="47">
        <v>0</v>
      </c>
      <c r="K26" s="129">
        <f t="shared" si="1"/>
        <v>7448</v>
      </c>
      <c r="L26" s="51">
        <f>4*281+30*20+2000</f>
        <v>3724</v>
      </c>
      <c r="M26" s="51">
        <f>4*281+30*20+2000</f>
        <v>3724</v>
      </c>
      <c r="N26" s="51">
        <v>0</v>
      </c>
      <c r="O26" s="51">
        <v>0</v>
      </c>
      <c r="P26" s="25" t="s">
        <v>138</v>
      </c>
    </row>
    <row r="27" spans="1:16" ht="39.9" customHeight="1">
      <c r="A27" s="210"/>
      <c r="B27" s="210"/>
      <c r="C27" s="210"/>
      <c r="D27" s="210"/>
      <c r="E27" s="210"/>
      <c r="F27" s="11">
        <v>72300</v>
      </c>
      <c r="G27" s="4" t="s">
        <v>36</v>
      </c>
      <c r="H27" s="69" t="s">
        <v>32</v>
      </c>
      <c r="I27" s="47">
        <f t="shared" si="0"/>
        <v>0</v>
      </c>
      <c r="J27" s="47">
        <v>8000</v>
      </c>
      <c r="K27" s="129">
        <f t="shared" si="1"/>
        <v>8000</v>
      </c>
      <c r="L27" s="51">
        <v>4000</v>
      </c>
      <c r="M27" s="51">
        <v>4000</v>
      </c>
      <c r="N27" s="51">
        <v>0</v>
      </c>
      <c r="O27" s="51">
        <v>0</v>
      </c>
      <c r="P27" s="25" t="s">
        <v>140</v>
      </c>
    </row>
    <row r="28" spans="1:16" ht="33" customHeight="1">
      <c r="A28" s="210"/>
      <c r="B28" s="210"/>
      <c r="C28" s="210"/>
      <c r="D28" s="210"/>
      <c r="E28" s="210"/>
      <c r="F28" s="11">
        <v>75700</v>
      </c>
      <c r="G28" s="4" t="s">
        <v>40</v>
      </c>
      <c r="H28" s="69" t="s">
        <v>72</v>
      </c>
      <c r="I28" s="47">
        <f t="shared" si="0"/>
        <v>5000</v>
      </c>
      <c r="J28" s="47">
        <v>0</v>
      </c>
      <c r="K28" s="129">
        <f t="shared" si="1"/>
        <v>5000</v>
      </c>
      <c r="L28" s="51">
        <v>2500</v>
      </c>
      <c r="M28" s="51">
        <v>2500</v>
      </c>
      <c r="N28" s="51"/>
      <c r="O28" s="51"/>
      <c r="P28" s="25" t="s">
        <v>139</v>
      </c>
    </row>
    <row r="29" spans="1:16" ht="33" customHeight="1">
      <c r="A29" s="210"/>
      <c r="B29" s="210"/>
      <c r="C29" s="210"/>
      <c r="D29" s="210">
        <v>1.6</v>
      </c>
      <c r="E29" s="210" t="s">
        <v>58</v>
      </c>
      <c r="F29" s="11">
        <v>71200</v>
      </c>
      <c r="G29" s="4" t="s">
        <v>33</v>
      </c>
      <c r="H29" s="69" t="s">
        <v>72</v>
      </c>
      <c r="I29" s="47">
        <f t="shared" si="0"/>
        <v>7000</v>
      </c>
      <c r="J29" s="47">
        <v>0</v>
      </c>
      <c r="K29" s="129">
        <f t="shared" si="1"/>
        <v>7000</v>
      </c>
      <c r="L29" s="51">
        <v>0</v>
      </c>
      <c r="M29" s="51">
        <v>0</v>
      </c>
      <c r="N29" s="51">
        <v>0</v>
      </c>
      <c r="O29" s="51">
        <f>700*10</f>
        <v>7000</v>
      </c>
      <c r="P29" s="52" t="s">
        <v>141</v>
      </c>
    </row>
    <row r="30" spans="1:16" ht="33" customHeight="1">
      <c r="A30" s="210"/>
      <c r="B30" s="210"/>
      <c r="C30" s="210"/>
      <c r="D30" s="210"/>
      <c r="E30" s="210"/>
      <c r="F30" s="11">
        <v>71300</v>
      </c>
      <c r="G30" s="9" t="s">
        <v>34</v>
      </c>
      <c r="H30" s="69" t="s">
        <v>72</v>
      </c>
      <c r="I30" s="47">
        <f t="shared" si="0"/>
        <v>3000</v>
      </c>
      <c r="J30" s="47">
        <v>0</v>
      </c>
      <c r="K30" s="129">
        <f t="shared" si="1"/>
        <v>3000</v>
      </c>
      <c r="L30" s="51">
        <v>0</v>
      </c>
      <c r="M30" s="51">
        <v>0</v>
      </c>
      <c r="N30" s="51">
        <v>0</v>
      </c>
      <c r="O30" s="51">
        <f>300*10</f>
        <v>3000</v>
      </c>
      <c r="P30" s="52" t="s">
        <v>143</v>
      </c>
    </row>
    <row r="31" spans="1:16" ht="33" customHeight="1">
      <c r="A31" s="210"/>
      <c r="B31" s="210"/>
      <c r="C31" s="210"/>
      <c r="D31" s="210"/>
      <c r="E31" s="210"/>
      <c r="F31" s="11">
        <v>74200</v>
      </c>
      <c r="G31" s="4" t="s">
        <v>38</v>
      </c>
      <c r="H31" s="69" t="s">
        <v>72</v>
      </c>
      <c r="I31" s="47">
        <f t="shared" si="0"/>
        <v>3000</v>
      </c>
      <c r="J31" s="47">
        <v>0</v>
      </c>
      <c r="K31" s="129">
        <f t="shared" si="1"/>
        <v>3000</v>
      </c>
      <c r="L31" s="51">
        <v>0</v>
      </c>
      <c r="M31" s="51">
        <v>0</v>
      </c>
      <c r="N31" s="51">
        <v>0</v>
      </c>
      <c r="O31" s="51">
        <v>3000</v>
      </c>
      <c r="P31" s="52" t="s">
        <v>142</v>
      </c>
    </row>
    <row r="32" spans="1:16" s="63" customFormat="1" ht="33" customHeight="1">
      <c r="A32" s="58" t="s">
        <v>13</v>
      </c>
      <c r="B32" s="58"/>
      <c r="C32" s="58"/>
      <c r="D32" s="58"/>
      <c r="E32" s="58"/>
      <c r="F32" s="58"/>
      <c r="G32" s="59" t="s">
        <v>120</v>
      </c>
      <c r="H32" s="70"/>
      <c r="I32" s="61">
        <f t="shared" ref="I32:J32" si="3">SUM(I3:I31)</f>
        <v>164941</v>
      </c>
      <c r="J32" s="61">
        <f t="shared" si="3"/>
        <v>31800</v>
      </c>
      <c r="K32" s="131">
        <f>SUM(K3:K31)</f>
        <v>196741</v>
      </c>
      <c r="L32" s="60">
        <f t="shared" ref="L32:O32" si="4">SUM(L3:L31)</f>
        <v>99311</v>
      </c>
      <c r="M32" s="60">
        <f t="shared" si="4"/>
        <v>64925</v>
      </c>
      <c r="N32" s="60">
        <f t="shared" si="4"/>
        <v>15505</v>
      </c>
      <c r="O32" s="60">
        <f t="shared" si="4"/>
        <v>17000</v>
      </c>
      <c r="P32" s="62"/>
    </row>
    <row r="33" spans="1:16" ht="75" customHeight="1">
      <c r="A33" s="209" t="s">
        <v>23</v>
      </c>
      <c r="B33" s="209" t="s">
        <v>25</v>
      </c>
      <c r="C33" s="209" t="s">
        <v>24</v>
      </c>
      <c r="D33" s="209" t="s">
        <v>26</v>
      </c>
      <c r="E33" s="209" t="s">
        <v>49</v>
      </c>
      <c r="F33" s="8">
        <v>71200</v>
      </c>
      <c r="G33" s="4" t="s">
        <v>33</v>
      </c>
      <c r="H33" s="69" t="s">
        <v>72</v>
      </c>
      <c r="I33" s="47">
        <f t="shared" si="0"/>
        <v>19020</v>
      </c>
      <c r="J33" s="47">
        <v>0</v>
      </c>
      <c r="K33" s="129">
        <f t="shared" si="1"/>
        <v>19020</v>
      </c>
      <c r="L33" s="171">
        <f>7020+12000</f>
        <v>19020</v>
      </c>
      <c r="M33" s="51">
        <v>0</v>
      </c>
      <c r="N33" s="51">
        <v>0</v>
      </c>
      <c r="O33" s="51">
        <v>0</v>
      </c>
      <c r="P33" s="25" t="s">
        <v>307</v>
      </c>
    </row>
    <row r="34" spans="1:16" ht="75" customHeight="1">
      <c r="A34" s="210"/>
      <c r="B34" s="210"/>
      <c r="C34" s="210"/>
      <c r="D34" s="210"/>
      <c r="E34" s="210"/>
      <c r="F34" s="8">
        <v>71200</v>
      </c>
      <c r="G34" s="4" t="s">
        <v>33</v>
      </c>
      <c r="H34" s="69" t="s">
        <v>32</v>
      </c>
      <c r="I34" s="47">
        <v>0</v>
      </c>
      <c r="J34" s="47">
        <f>K34</f>
        <v>25248</v>
      </c>
      <c r="K34" s="129">
        <f t="shared" si="1"/>
        <v>25248</v>
      </c>
      <c r="L34" s="171">
        <f>6215</f>
        <v>6215</v>
      </c>
      <c r="M34" s="171">
        <f>2104*3</f>
        <v>6312</v>
      </c>
      <c r="N34" s="51">
        <v>6409</v>
      </c>
      <c r="O34" s="51">
        <f t="shared" ref="O34" si="5">2104*3</f>
        <v>6312</v>
      </c>
      <c r="P34" s="25" t="s">
        <v>257</v>
      </c>
    </row>
    <row r="35" spans="1:16" ht="56.1" customHeight="1">
      <c r="A35" s="210"/>
      <c r="B35" s="210"/>
      <c r="C35" s="210"/>
      <c r="D35" s="210"/>
      <c r="E35" s="210"/>
      <c r="F35" s="8">
        <v>72100</v>
      </c>
      <c r="G35" s="4" t="s">
        <v>35</v>
      </c>
      <c r="H35" s="69" t="s">
        <v>72</v>
      </c>
      <c r="I35" s="47">
        <f t="shared" si="0"/>
        <v>13100</v>
      </c>
      <c r="J35" s="47">
        <v>0</v>
      </c>
      <c r="K35" s="129">
        <f t="shared" si="1"/>
        <v>13100</v>
      </c>
      <c r="L35" s="51">
        <v>0</v>
      </c>
      <c r="M35" s="171">
        <f>3200+3306</f>
        <v>6506</v>
      </c>
      <c r="N35" s="171">
        <f>3297</f>
        <v>3297</v>
      </c>
      <c r="O35" s="51">
        <f>3297</f>
        <v>3297</v>
      </c>
      <c r="P35" s="170" t="s">
        <v>261</v>
      </c>
    </row>
    <row r="36" spans="1:16" ht="33" customHeight="1">
      <c r="A36" s="210"/>
      <c r="B36" s="210"/>
      <c r="C36" s="210"/>
      <c r="D36" s="210"/>
      <c r="E36" s="210"/>
      <c r="F36" s="8">
        <v>72300</v>
      </c>
      <c r="G36" s="4" t="s">
        <v>36</v>
      </c>
      <c r="H36" s="69" t="s">
        <v>72</v>
      </c>
      <c r="I36" s="47">
        <f t="shared" si="0"/>
        <v>236378</v>
      </c>
      <c r="J36" s="47">
        <v>0</v>
      </c>
      <c r="K36" s="129">
        <f t="shared" si="1"/>
        <v>236378</v>
      </c>
      <c r="L36" s="51">
        <v>0</v>
      </c>
      <c r="M36" s="171">
        <v>236378</v>
      </c>
      <c r="N36" s="51">
        <v>0</v>
      </c>
      <c r="O36" s="51">
        <v>0</v>
      </c>
      <c r="P36" s="25" t="s">
        <v>87</v>
      </c>
    </row>
    <row r="37" spans="1:16" ht="33" customHeight="1">
      <c r="A37" s="210"/>
      <c r="B37" s="210"/>
      <c r="C37" s="210"/>
      <c r="D37" s="210"/>
      <c r="E37" s="210"/>
      <c r="F37" s="8">
        <v>72300</v>
      </c>
      <c r="G37" s="4" t="s">
        <v>36</v>
      </c>
      <c r="H37" s="69" t="s">
        <v>32</v>
      </c>
      <c r="I37" s="47"/>
      <c r="J37" s="47">
        <f>K37</f>
        <v>399622</v>
      </c>
      <c r="K37" s="129">
        <f t="shared" si="1"/>
        <v>399622</v>
      </c>
      <c r="L37" s="51">
        <v>0</v>
      </c>
      <c r="M37" s="171">
        <v>177622</v>
      </c>
      <c r="N37" s="171">
        <v>222000</v>
      </c>
      <c r="O37" s="51">
        <v>0</v>
      </c>
      <c r="P37" s="25" t="s">
        <v>87</v>
      </c>
    </row>
    <row r="38" spans="1:16" ht="71.099999999999994" customHeight="1">
      <c r="A38" s="210"/>
      <c r="B38" s="210"/>
      <c r="C38" s="210"/>
      <c r="D38" s="210"/>
      <c r="E38" s="210"/>
      <c r="F38" s="8">
        <v>75700</v>
      </c>
      <c r="G38" s="4" t="s">
        <v>40</v>
      </c>
      <c r="H38" s="69" t="s">
        <v>72</v>
      </c>
      <c r="I38" s="47">
        <f t="shared" si="0"/>
        <v>15000</v>
      </c>
      <c r="J38" s="47">
        <v>0</v>
      </c>
      <c r="K38" s="129">
        <f t="shared" si="1"/>
        <v>15000</v>
      </c>
      <c r="L38" s="51">
        <v>5000</v>
      </c>
      <c r="M38" s="51">
        <v>5000</v>
      </c>
      <c r="N38" s="51">
        <v>5000</v>
      </c>
      <c r="O38" s="51">
        <v>0</v>
      </c>
      <c r="P38" s="25" t="s">
        <v>110</v>
      </c>
    </row>
    <row r="39" spans="1:16" ht="33" customHeight="1">
      <c r="A39" s="210"/>
      <c r="B39" s="210"/>
      <c r="C39" s="210"/>
      <c r="D39" s="206" t="s">
        <v>27</v>
      </c>
      <c r="E39" s="209" t="s">
        <v>48</v>
      </c>
      <c r="F39" s="8">
        <v>71200</v>
      </c>
      <c r="G39" s="4" t="s">
        <v>33</v>
      </c>
      <c r="H39" s="69" t="s">
        <v>32</v>
      </c>
      <c r="I39" s="47">
        <f>K39-J39</f>
        <v>0</v>
      </c>
      <c r="J39" s="57">
        <v>9800</v>
      </c>
      <c r="K39" s="129">
        <f t="shared" si="1"/>
        <v>9800</v>
      </c>
      <c r="L39" s="51">
        <f>7*700</f>
        <v>4900</v>
      </c>
      <c r="M39" s="51">
        <f>7*700</f>
        <v>4900</v>
      </c>
      <c r="N39" s="51">
        <v>0</v>
      </c>
      <c r="O39" s="51">
        <v>0</v>
      </c>
      <c r="P39" s="25" t="s">
        <v>85</v>
      </c>
    </row>
    <row r="40" spans="1:16" ht="33" customHeight="1">
      <c r="A40" s="210"/>
      <c r="B40" s="210"/>
      <c r="C40" s="210"/>
      <c r="D40" s="207"/>
      <c r="E40" s="210"/>
      <c r="F40" s="8">
        <v>71300</v>
      </c>
      <c r="G40" s="9" t="s">
        <v>34</v>
      </c>
      <c r="H40" s="69" t="s">
        <v>72</v>
      </c>
      <c r="I40" s="47">
        <f t="shared" si="0"/>
        <v>6000</v>
      </c>
      <c r="J40" s="47">
        <v>0</v>
      </c>
      <c r="K40" s="129">
        <f t="shared" si="1"/>
        <v>6000</v>
      </c>
      <c r="L40" s="51">
        <f>10*300</f>
        <v>3000</v>
      </c>
      <c r="M40" s="51">
        <f>10*300</f>
        <v>3000</v>
      </c>
      <c r="N40" s="51">
        <v>0</v>
      </c>
      <c r="O40" s="51">
        <v>0</v>
      </c>
      <c r="P40" s="25" t="s">
        <v>86</v>
      </c>
    </row>
    <row r="41" spans="1:16" ht="137.1" customHeight="1">
      <c r="A41" s="210"/>
      <c r="B41" s="210"/>
      <c r="C41" s="210"/>
      <c r="D41" s="207"/>
      <c r="E41" s="210"/>
      <c r="F41" s="8">
        <v>71600</v>
      </c>
      <c r="G41" s="4" t="s">
        <v>18</v>
      </c>
      <c r="H41" s="69" t="s">
        <v>72</v>
      </c>
      <c r="I41" s="47">
        <f t="shared" si="0"/>
        <v>8010</v>
      </c>
      <c r="J41" s="47">
        <v>0</v>
      </c>
      <c r="K41" s="129">
        <f t="shared" si="1"/>
        <v>8010</v>
      </c>
      <c r="L41" s="51">
        <f>281*5+30*20+2000</f>
        <v>4005</v>
      </c>
      <c r="M41" s="51">
        <f>281*5+30*20+2000</f>
        <v>4005</v>
      </c>
      <c r="N41" s="51">
        <v>0</v>
      </c>
      <c r="O41" s="51">
        <v>0</v>
      </c>
      <c r="P41" s="25" t="s">
        <v>308</v>
      </c>
    </row>
    <row r="42" spans="1:16" ht="33" customHeight="1">
      <c r="A42" s="210"/>
      <c r="B42" s="210"/>
      <c r="C42" s="210"/>
      <c r="D42" s="207"/>
      <c r="E42" s="210"/>
      <c r="F42" s="8">
        <v>75700</v>
      </c>
      <c r="G42" s="4" t="s">
        <v>40</v>
      </c>
      <c r="H42" s="69" t="s">
        <v>72</v>
      </c>
      <c r="I42" s="47">
        <f t="shared" si="0"/>
        <v>5000</v>
      </c>
      <c r="J42" s="47">
        <v>0</v>
      </c>
      <c r="K42" s="129">
        <f t="shared" si="1"/>
        <v>5000</v>
      </c>
      <c r="L42" s="51">
        <v>2500</v>
      </c>
      <c r="M42" s="51">
        <v>2500</v>
      </c>
      <c r="N42" s="51">
        <v>0</v>
      </c>
      <c r="O42" s="51">
        <v>0</v>
      </c>
      <c r="P42" s="25" t="s">
        <v>139</v>
      </c>
    </row>
    <row r="43" spans="1:16" ht="57" customHeight="1">
      <c r="A43" s="210"/>
      <c r="B43" s="210"/>
      <c r="C43" s="210"/>
      <c r="D43" s="206" t="s">
        <v>28</v>
      </c>
      <c r="E43" s="209" t="s">
        <v>43</v>
      </c>
      <c r="F43" s="8">
        <v>71200</v>
      </c>
      <c r="G43" s="4" t="s">
        <v>33</v>
      </c>
      <c r="H43" s="69" t="s">
        <v>32</v>
      </c>
      <c r="I43" s="47">
        <f t="shared" si="0"/>
        <v>0</v>
      </c>
      <c r="J43" s="57">
        <v>8400</v>
      </c>
      <c r="K43" s="129">
        <f t="shared" si="1"/>
        <v>8400</v>
      </c>
      <c r="L43" s="51">
        <f>700*6</f>
        <v>4200</v>
      </c>
      <c r="M43" s="51">
        <f>700*6</f>
        <v>4200</v>
      </c>
      <c r="N43" s="51">
        <v>0</v>
      </c>
      <c r="O43" s="51">
        <v>0</v>
      </c>
      <c r="P43" s="25" t="s">
        <v>144</v>
      </c>
    </row>
    <row r="44" spans="1:16" ht="45" customHeight="1">
      <c r="A44" s="210"/>
      <c r="B44" s="210"/>
      <c r="C44" s="210"/>
      <c r="D44" s="207"/>
      <c r="E44" s="210"/>
      <c r="F44" s="8">
        <v>71300</v>
      </c>
      <c r="G44" s="9" t="s">
        <v>34</v>
      </c>
      <c r="H44" s="69" t="s">
        <v>72</v>
      </c>
      <c r="I44" s="47">
        <f t="shared" si="0"/>
        <v>7200</v>
      </c>
      <c r="J44" s="47">
        <v>0</v>
      </c>
      <c r="K44" s="129">
        <f t="shared" si="1"/>
        <v>7200</v>
      </c>
      <c r="L44" s="51">
        <f>12*300</f>
        <v>3600</v>
      </c>
      <c r="M44" s="51">
        <f>12*300</f>
        <v>3600</v>
      </c>
      <c r="N44" s="51">
        <v>0</v>
      </c>
      <c r="O44" s="51">
        <v>0</v>
      </c>
      <c r="P44" s="25" t="s">
        <v>309</v>
      </c>
    </row>
    <row r="45" spans="1:16" ht="104.1" customHeight="1">
      <c r="A45" s="210"/>
      <c r="B45" s="210"/>
      <c r="C45" s="210"/>
      <c r="D45" s="207"/>
      <c r="E45" s="210"/>
      <c r="F45" s="8">
        <v>71600</v>
      </c>
      <c r="G45" s="4" t="s">
        <v>18</v>
      </c>
      <c r="H45" s="69" t="s">
        <v>72</v>
      </c>
      <c r="I45" s="47">
        <f t="shared" si="0"/>
        <v>12120</v>
      </c>
      <c r="J45" s="47">
        <v>0</v>
      </c>
      <c r="K45" s="129">
        <f t="shared" si="1"/>
        <v>12120</v>
      </c>
      <c r="L45" s="51">
        <v>0</v>
      </c>
      <c r="M45" s="51">
        <f>4*5*281+2000+3*1500</f>
        <v>12120</v>
      </c>
      <c r="N45" s="51">
        <v>0</v>
      </c>
      <c r="O45" s="51">
        <v>0</v>
      </c>
      <c r="P45" s="25" t="s">
        <v>145</v>
      </c>
    </row>
    <row r="46" spans="1:16" ht="54" customHeight="1">
      <c r="A46" s="210"/>
      <c r="B46" s="210"/>
      <c r="C46" s="210"/>
      <c r="D46" s="207"/>
      <c r="E46" s="210"/>
      <c r="F46" s="8">
        <v>72100</v>
      </c>
      <c r="G46" s="4" t="s">
        <v>35</v>
      </c>
      <c r="H46" s="69" t="s">
        <v>32</v>
      </c>
      <c r="I46" s="47">
        <f t="shared" si="0"/>
        <v>0</v>
      </c>
      <c r="J46" s="47">
        <v>4000</v>
      </c>
      <c r="K46" s="129">
        <f t="shared" si="1"/>
        <v>4000</v>
      </c>
      <c r="L46" s="51">
        <v>2000</v>
      </c>
      <c r="M46" s="51">
        <v>2000</v>
      </c>
      <c r="N46" s="51">
        <v>0</v>
      </c>
      <c r="O46" s="51">
        <v>0</v>
      </c>
      <c r="P46" s="25" t="s">
        <v>90</v>
      </c>
    </row>
    <row r="47" spans="1:16" ht="33" customHeight="1">
      <c r="A47" s="210"/>
      <c r="B47" s="210"/>
      <c r="C47" s="210"/>
      <c r="D47" s="207"/>
      <c r="E47" s="210"/>
      <c r="F47" s="8">
        <v>72300</v>
      </c>
      <c r="G47" s="4" t="s">
        <v>36</v>
      </c>
      <c r="H47" s="69" t="s">
        <v>32</v>
      </c>
      <c r="I47" s="47">
        <f t="shared" si="0"/>
        <v>0</v>
      </c>
      <c r="J47" s="47">
        <v>2000</v>
      </c>
      <c r="K47" s="129">
        <f t="shared" si="1"/>
        <v>2000</v>
      </c>
      <c r="L47" s="51">
        <v>2000</v>
      </c>
      <c r="M47" s="51">
        <v>0</v>
      </c>
      <c r="N47" s="51">
        <v>0</v>
      </c>
      <c r="O47" s="51">
        <v>0</v>
      </c>
      <c r="P47" s="25" t="s">
        <v>88</v>
      </c>
    </row>
    <row r="48" spans="1:16" ht="33" customHeight="1">
      <c r="A48" s="210"/>
      <c r="B48" s="210"/>
      <c r="C48" s="210"/>
      <c r="D48" s="207"/>
      <c r="E48" s="210"/>
      <c r="F48" s="8">
        <v>74200</v>
      </c>
      <c r="G48" s="4" t="s">
        <v>38</v>
      </c>
      <c r="H48" s="69" t="s">
        <v>72</v>
      </c>
      <c r="I48" s="47">
        <f t="shared" si="0"/>
        <v>1500</v>
      </c>
      <c r="J48" s="47">
        <v>0</v>
      </c>
      <c r="K48" s="129">
        <f t="shared" si="1"/>
        <v>1500</v>
      </c>
      <c r="L48" s="51">
        <v>1500</v>
      </c>
      <c r="M48" s="51">
        <v>0</v>
      </c>
      <c r="N48" s="51">
        <v>0</v>
      </c>
      <c r="O48" s="51">
        <v>0</v>
      </c>
      <c r="P48" s="25" t="s">
        <v>89</v>
      </c>
    </row>
    <row r="49" spans="1:16" ht="33" customHeight="1">
      <c r="A49" s="210"/>
      <c r="B49" s="210"/>
      <c r="C49" s="210"/>
      <c r="D49" s="207"/>
      <c r="E49" s="210"/>
      <c r="F49" s="8">
        <v>75700</v>
      </c>
      <c r="G49" s="4" t="s">
        <v>40</v>
      </c>
      <c r="H49" s="69" t="s">
        <v>72</v>
      </c>
      <c r="I49" s="47">
        <f t="shared" si="0"/>
        <v>5000</v>
      </c>
      <c r="J49" s="47">
        <v>0</v>
      </c>
      <c r="K49" s="129">
        <f t="shared" si="1"/>
        <v>5000</v>
      </c>
      <c r="L49" s="51"/>
      <c r="M49" s="51">
        <v>2500</v>
      </c>
      <c r="N49" s="51">
        <v>2500</v>
      </c>
      <c r="O49" s="51">
        <v>0</v>
      </c>
      <c r="P49" s="25" t="s">
        <v>91</v>
      </c>
    </row>
    <row r="50" spans="1:16" ht="33" customHeight="1">
      <c r="A50" s="210"/>
      <c r="B50" s="210"/>
      <c r="C50" s="210"/>
      <c r="D50" s="207"/>
      <c r="E50" s="210"/>
      <c r="F50" s="8">
        <v>72800</v>
      </c>
      <c r="G50" s="4" t="s">
        <v>41</v>
      </c>
      <c r="H50" s="69" t="s">
        <v>72</v>
      </c>
      <c r="I50" s="47">
        <f t="shared" si="0"/>
        <v>2500</v>
      </c>
      <c r="J50" s="47">
        <v>0</v>
      </c>
      <c r="K50" s="129">
        <f t="shared" si="1"/>
        <v>2500</v>
      </c>
      <c r="L50" s="51">
        <v>2500</v>
      </c>
      <c r="M50" s="51">
        <v>0</v>
      </c>
      <c r="N50" s="51">
        <v>0</v>
      </c>
      <c r="O50" s="51">
        <v>0</v>
      </c>
      <c r="P50" s="25" t="s">
        <v>92</v>
      </c>
    </row>
    <row r="51" spans="1:16" ht="33" customHeight="1">
      <c r="A51" s="210"/>
      <c r="B51" s="210"/>
      <c r="C51" s="210"/>
      <c r="D51" s="207"/>
      <c r="E51" s="210"/>
      <c r="F51" s="8">
        <v>74100</v>
      </c>
      <c r="G51" s="9" t="s">
        <v>42</v>
      </c>
      <c r="H51" s="69" t="s">
        <v>32</v>
      </c>
      <c r="I51" s="47">
        <f t="shared" si="0"/>
        <v>0</v>
      </c>
      <c r="J51" s="47">
        <v>4000</v>
      </c>
      <c r="K51" s="129">
        <f t="shared" si="1"/>
        <v>4000</v>
      </c>
      <c r="L51" s="51">
        <v>2000</v>
      </c>
      <c r="M51" s="51">
        <v>2000</v>
      </c>
      <c r="N51" s="51">
        <v>0</v>
      </c>
      <c r="O51" s="51">
        <v>0</v>
      </c>
      <c r="P51" s="25" t="s">
        <v>93</v>
      </c>
    </row>
    <row r="52" spans="1:16" s="63" customFormat="1" ht="33" customHeight="1">
      <c r="A52" s="58" t="s">
        <v>15</v>
      </c>
      <c r="B52" s="58"/>
      <c r="C52" s="58"/>
      <c r="D52" s="58"/>
      <c r="E52" s="58"/>
      <c r="F52" s="58"/>
      <c r="G52" s="59" t="s">
        <v>119</v>
      </c>
      <c r="H52" s="71"/>
      <c r="I52" s="64">
        <f t="shared" ref="I52:O52" si="6">SUM(I33:I51)</f>
        <v>330828</v>
      </c>
      <c r="J52" s="64">
        <f t="shared" si="6"/>
        <v>453070</v>
      </c>
      <c r="K52" s="132">
        <f t="shared" si="6"/>
        <v>783898</v>
      </c>
      <c r="L52" s="60">
        <f t="shared" si="6"/>
        <v>62440</v>
      </c>
      <c r="M52" s="60">
        <f t="shared" si="6"/>
        <v>472643</v>
      </c>
      <c r="N52" s="60">
        <f t="shared" si="6"/>
        <v>239206</v>
      </c>
      <c r="O52" s="60">
        <f t="shared" si="6"/>
        <v>9609</v>
      </c>
      <c r="P52" s="62"/>
    </row>
    <row r="53" spans="1:16" ht="33" customHeight="1">
      <c r="A53" s="203"/>
      <c r="B53" s="203"/>
      <c r="C53" s="200"/>
      <c r="D53" s="208">
        <v>3.1</v>
      </c>
      <c r="E53" s="208" t="s">
        <v>44</v>
      </c>
      <c r="F53" s="8">
        <v>72100</v>
      </c>
      <c r="G53" s="4" t="s">
        <v>35</v>
      </c>
      <c r="H53" s="69" t="s">
        <v>72</v>
      </c>
      <c r="I53" s="47">
        <f t="shared" si="0"/>
        <v>15000</v>
      </c>
      <c r="J53" s="47">
        <v>0</v>
      </c>
      <c r="K53" s="129">
        <f t="shared" si="1"/>
        <v>15000</v>
      </c>
      <c r="L53" s="51">
        <v>5000</v>
      </c>
      <c r="M53" s="51">
        <v>5000</v>
      </c>
      <c r="N53" s="51">
        <v>5000</v>
      </c>
      <c r="O53" s="51">
        <v>0</v>
      </c>
      <c r="P53" s="25" t="s">
        <v>149</v>
      </c>
    </row>
    <row r="54" spans="1:16" ht="99.9" customHeight="1">
      <c r="A54" s="204"/>
      <c r="B54" s="204"/>
      <c r="C54" s="201"/>
      <c r="D54" s="208"/>
      <c r="E54" s="208"/>
      <c r="F54" s="8">
        <v>71600</v>
      </c>
      <c r="G54" s="4" t="s">
        <v>18</v>
      </c>
      <c r="H54" s="69" t="s">
        <v>72</v>
      </c>
      <c r="I54" s="47">
        <f t="shared" si="0"/>
        <v>9672</v>
      </c>
      <c r="J54" s="47">
        <v>0</v>
      </c>
      <c r="K54" s="129">
        <f t="shared" si="1"/>
        <v>9672</v>
      </c>
      <c r="L54" s="51">
        <f>4*281+1500+30*20</f>
        <v>3224</v>
      </c>
      <c r="M54" s="51">
        <f>4*281+1500+30*20</f>
        <v>3224</v>
      </c>
      <c r="N54" s="51">
        <f>4*281+1500+30*20</f>
        <v>3224</v>
      </c>
      <c r="O54" s="51">
        <v>0</v>
      </c>
      <c r="P54" s="25" t="s">
        <v>150</v>
      </c>
    </row>
    <row r="55" spans="1:16" ht="33" customHeight="1">
      <c r="A55" s="204"/>
      <c r="B55" s="204"/>
      <c r="C55" s="201"/>
      <c r="D55" s="208"/>
      <c r="E55" s="208"/>
      <c r="F55" s="8">
        <v>75700</v>
      </c>
      <c r="G55" s="4" t="s">
        <v>40</v>
      </c>
      <c r="H55" s="69" t="s">
        <v>72</v>
      </c>
      <c r="I55" s="47">
        <f t="shared" si="0"/>
        <v>7500</v>
      </c>
      <c r="J55" s="47">
        <v>0</v>
      </c>
      <c r="K55" s="129">
        <f t="shared" si="1"/>
        <v>7500</v>
      </c>
      <c r="L55" s="51">
        <v>2500</v>
      </c>
      <c r="M55" s="51">
        <v>2500</v>
      </c>
      <c r="N55" s="51">
        <v>2500</v>
      </c>
      <c r="O55" s="51">
        <v>0</v>
      </c>
      <c r="P55" s="25" t="s">
        <v>151</v>
      </c>
    </row>
    <row r="56" spans="1:16" ht="33" customHeight="1">
      <c r="A56" s="204"/>
      <c r="B56" s="204"/>
      <c r="C56" s="201"/>
      <c r="D56" s="211">
        <v>3.2</v>
      </c>
      <c r="E56" s="208" t="s">
        <v>45</v>
      </c>
      <c r="F56" s="8">
        <v>72100</v>
      </c>
      <c r="G56" s="4" t="s">
        <v>35</v>
      </c>
      <c r="H56" s="69" t="s">
        <v>72</v>
      </c>
      <c r="I56" s="47">
        <f t="shared" si="0"/>
        <v>30000</v>
      </c>
      <c r="J56" s="47">
        <v>0</v>
      </c>
      <c r="K56" s="129">
        <f t="shared" si="1"/>
        <v>30000</v>
      </c>
      <c r="L56" s="51">
        <v>30000</v>
      </c>
      <c r="M56" s="51">
        <v>0</v>
      </c>
      <c r="N56" s="51">
        <v>0</v>
      </c>
      <c r="O56" s="51">
        <v>0</v>
      </c>
      <c r="P56" s="25" t="s">
        <v>152</v>
      </c>
    </row>
    <row r="57" spans="1:16" ht="63.9" customHeight="1">
      <c r="A57" s="204"/>
      <c r="B57" s="204"/>
      <c r="C57" s="201"/>
      <c r="D57" s="211"/>
      <c r="E57" s="208"/>
      <c r="F57" s="8">
        <v>74200</v>
      </c>
      <c r="G57" s="4" t="s">
        <v>38</v>
      </c>
      <c r="H57" s="69" t="s">
        <v>72</v>
      </c>
      <c r="I57" s="47">
        <f t="shared" si="0"/>
        <v>3000</v>
      </c>
      <c r="J57" s="47">
        <v>0</v>
      </c>
      <c r="K57" s="129">
        <f t="shared" si="1"/>
        <v>3000</v>
      </c>
      <c r="L57" s="51">
        <v>3000</v>
      </c>
      <c r="M57" s="51">
        <v>0</v>
      </c>
      <c r="N57" s="51">
        <v>0</v>
      </c>
      <c r="O57" s="51">
        <v>0</v>
      </c>
      <c r="P57" s="25" t="s">
        <v>82</v>
      </c>
    </row>
    <row r="58" spans="1:16" ht="63.9" customHeight="1">
      <c r="A58" s="204"/>
      <c r="B58" s="204"/>
      <c r="C58" s="201"/>
      <c r="D58" s="208">
        <v>3.3</v>
      </c>
      <c r="E58" s="208" t="s">
        <v>148</v>
      </c>
      <c r="F58" s="8">
        <v>72100</v>
      </c>
      <c r="G58" s="4" t="s">
        <v>35</v>
      </c>
      <c r="H58" s="69" t="s">
        <v>72</v>
      </c>
      <c r="I58" s="47">
        <f>K58</f>
        <v>30000</v>
      </c>
      <c r="J58" s="47">
        <v>0</v>
      </c>
      <c r="K58" s="129">
        <f t="shared" si="1"/>
        <v>30000</v>
      </c>
      <c r="L58" s="51">
        <v>0</v>
      </c>
      <c r="M58" s="51">
        <v>0</v>
      </c>
      <c r="N58" s="51">
        <v>30000</v>
      </c>
      <c r="O58" s="51">
        <v>0</v>
      </c>
      <c r="P58" s="25" t="s">
        <v>153</v>
      </c>
    </row>
    <row r="59" spans="1:16" ht="108" customHeight="1">
      <c r="A59" s="204"/>
      <c r="B59" s="204"/>
      <c r="C59" s="201"/>
      <c r="D59" s="208"/>
      <c r="E59" s="208"/>
      <c r="F59" s="8">
        <v>72100</v>
      </c>
      <c r="G59" s="4" t="s">
        <v>35</v>
      </c>
      <c r="H59" s="69" t="s">
        <v>32</v>
      </c>
      <c r="I59" s="47">
        <f t="shared" si="0"/>
        <v>0</v>
      </c>
      <c r="J59" s="47">
        <v>20000</v>
      </c>
      <c r="K59" s="129">
        <f t="shared" si="1"/>
        <v>20000</v>
      </c>
      <c r="L59" s="51">
        <v>0</v>
      </c>
      <c r="M59" s="51">
        <v>0</v>
      </c>
      <c r="N59" s="51">
        <v>20000</v>
      </c>
      <c r="O59" s="51">
        <v>0</v>
      </c>
      <c r="P59" s="25" t="s">
        <v>153</v>
      </c>
    </row>
    <row r="60" spans="1:16" ht="33" customHeight="1">
      <c r="A60" s="204"/>
      <c r="B60" s="204"/>
      <c r="C60" s="201"/>
      <c r="D60" s="208">
        <v>3.4</v>
      </c>
      <c r="E60" s="208" t="s">
        <v>147</v>
      </c>
      <c r="F60" s="8">
        <v>72100</v>
      </c>
      <c r="G60" s="4" t="s">
        <v>35</v>
      </c>
      <c r="H60" s="69" t="s">
        <v>72</v>
      </c>
      <c r="I60" s="47">
        <f>K60</f>
        <v>40000</v>
      </c>
      <c r="J60" s="47">
        <v>0</v>
      </c>
      <c r="K60" s="129">
        <f t="shared" si="1"/>
        <v>40000</v>
      </c>
      <c r="L60" s="51">
        <v>20000</v>
      </c>
      <c r="M60" s="51">
        <v>20000</v>
      </c>
      <c r="N60" s="51">
        <v>0</v>
      </c>
      <c r="O60" s="51">
        <v>0</v>
      </c>
      <c r="P60" s="25" t="s">
        <v>154</v>
      </c>
    </row>
    <row r="61" spans="1:16" ht="33" customHeight="1">
      <c r="A61" s="204"/>
      <c r="B61" s="204"/>
      <c r="C61" s="201"/>
      <c r="D61" s="208"/>
      <c r="E61" s="208"/>
      <c r="F61" s="8">
        <v>74200</v>
      </c>
      <c r="G61" s="4" t="s">
        <v>38</v>
      </c>
      <c r="H61" s="69" t="s">
        <v>72</v>
      </c>
      <c r="I61" s="47">
        <f t="shared" si="0"/>
        <v>3000</v>
      </c>
      <c r="J61" s="47">
        <v>0</v>
      </c>
      <c r="K61" s="129">
        <f t="shared" si="1"/>
        <v>3000</v>
      </c>
      <c r="L61" s="51">
        <v>0</v>
      </c>
      <c r="M61" s="51">
        <v>3000</v>
      </c>
      <c r="N61" s="51">
        <v>0</v>
      </c>
      <c r="O61" s="51">
        <v>0</v>
      </c>
      <c r="P61" s="25" t="s">
        <v>155</v>
      </c>
    </row>
    <row r="62" spans="1:16" ht="87.9" customHeight="1">
      <c r="A62" s="204"/>
      <c r="B62" s="204"/>
      <c r="C62" s="201"/>
      <c r="D62" s="208"/>
      <c r="E62" s="208"/>
      <c r="F62" s="54">
        <v>75700</v>
      </c>
      <c r="G62" s="45" t="s">
        <v>40</v>
      </c>
      <c r="H62" s="69" t="s">
        <v>72</v>
      </c>
      <c r="I62" s="47">
        <f t="shared" si="0"/>
        <v>5000</v>
      </c>
      <c r="J62" s="47">
        <v>0</v>
      </c>
      <c r="K62" s="129">
        <f t="shared" si="1"/>
        <v>5000</v>
      </c>
      <c r="L62" s="51">
        <v>2500</v>
      </c>
      <c r="M62" s="51">
        <v>2500</v>
      </c>
      <c r="N62" s="51">
        <v>0</v>
      </c>
      <c r="O62" s="51">
        <v>0</v>
      </c>
      <c r="P62" s="25" t="s">
        <v>156</v>
      </c>
    </row>
    <row r="63" spans="1:16" ht="33" customHeight="1">
      <c r="A63" s="204"/>
      <c r="B63" s="204"/>
      <c r="C63" s="201"/>
      <c r="D63" s="208">
        <v>3.5</v>
      </c>
      <c r="E63" s="208" t="s">
        <v>146</v>
      </c>
      <c r="F63" s="8">
        <v>72100</v>
      </c>
      <c r="G63" s="4" t="s">
        <v>35</v>
      </c>
      <c r="H63" s="69" t="s">
        <v>72</v>
      </c>
      <c r="I63" s="47">
        <f t="shared" si="0"/>
        <v>15000</v>
      </c>
      <c r="J63" s="47">
        <v>0</v>
      </c>
      <c r="K63" s="129">
        <f t="shared" si="1"/>
        <v>15000</v>
      </c>
      <c r="L63" s="51">
        <v>0</v>
      </c>
      <c r="M63" s="51">
        <v>0</v>
      </c>
      <c r="N63" s="51">
        <v>15000</v>
      </c>
      <c r="O63" s="51">
        <v>0</v>
      </c>
      <c r="P63" s="25" t="s">
        <v>157</v>
      </c>
    </row>
    <row r="64" spans="1:16" ht="33" customHeight="1">
      <c r="A64" s="204"/>
      <c r="B64" s="204"/>
      <c r="C64" s="201"/>
      <c r="D64" s="208"/>
      <c r="E64" s="208"/>
      <c r="F64" s="8">
        <v>72100</v>
      </c>
      <c r="G64" s="4" t="s">
        <v>35</v>
      </c>
      <c r="H64" s="69" t="s">
        <v>32</v>
      </c>
      <c r="I64" s="47"/>
      <c r="J64" s="47">
        <f>K64</f>
        <v>20000</v>
      </c>
      <c r="K64" s="129">
        <f t="shared" si="1"/>
        <v>20000</v>
      </c>
      <c r="L64" s="51">
        <v>0</v>
      </c>
      <c r="M64" s="51">
        <v>0</v>
      </c>
      <c r="N64" s="51">
        <v>0</v>
      </c>
      <c r="O64" s="51">
        <v>20000</v>
      </c>
      <c r="P64" s="25" t="s">
        <v>157</v>
      </c>
    </row>
    <row r="65" spans="1:16" ht="33" customHeight="1">
      <c r="A65" s="204"/>
      <c r="B65" s="204"/>
      <c r="C65" s="201"/>
      <c r="D65" s="208"/>
      <c r="E65" s="208"/>
      <c r="F65" s="8">
        <v>74200</v>
      </c>
      <c r="G65" s="4" t="s">
        <v>38</v>
      </c>
      <c r="H65" s="69" t="s">
        <v>72</v>
      </c>
      <c r="I65" s="47">
        <f t="shared" si="0"/>
        <v>3000</v>
      </c>
      <c r="J65" s="47">
        <v>0</v>
      </c>
      <c r="K65" s="129">
        <f t="shared" si="1"/>
        <v>3000</v>
      </c>
      <c r="L65" s="51">
        <v>0</v>
      </c>
      <c r="M65" s="51">
        <v>0</v>
      </c>
      <c r="N65" s="51">
        <v>0</v>
      </c>
      <c r="O65" s="51">
        <v>3000</v>
      </c>
      <c r="P65" s="25" t="s">
        <v>155</v>
      </c>
    </row>
    <row r="66" spans="1:16" ht="87.9" customHeight="1">
      <c r="A66" s="205"/>
      <c r="B66" s="205"/>
      <c r="C66" s="202"/>
      <c r="D66" s="208"/>
      <c r="E66" s="208"/>
      <c r="F66" s="54">
        <v>75700</v>
      </c>
      <c r="G66" s="45" t="s">
        <v>40</v>
      </c>
      <c r="H66" s="69" t="s">
        <v>72</v>
      </c>
      <c r="I66" s="47">
        <f t="shared" si="0"/>
        <v>5000</v>
      </c>
      <c r="J66" s="47">
        <v>0</v>
      </c>
      <c r="K66" s="129">
        <f t="shared" si="1"/>
        <v>5000</v>
      </c>
      <c r="L66" s="51">
        <v>0</v>
      </c>
      <c r="M66" s="51">
        <v>0</v>
      </c>
      <c r="N66" s="51">
        <v>2500</v>
      </c>
      <c r="O66" s="51">
        <v>2500</v>
      </c>
      <c r="P66" s="25" t="s">
        <v>156</v>
      </c>
    </row>
    <row r="67" spans="1:16" s="63" customFormat="1" ht="33" customHeight="1">
      <c r="A67" s="58" t="s">
        <v>16</v>
      </c>
      <c r="B67" s="58"/>
      <c r="C67" s="58"/>
      <c r="D67" s="58"/>
      <c r="E67" s="58"/>
      <c r="F67" s="58"/>
      <c r="G67" s="59" t="s">
        <v>118</v>
      </c>
      <c r="H67" s="72"/>
      <c r="I67" s="60">
        <f t="shared" ref="I67:O67" si="7">SUM(I53:I66)</f>
        <v>166172</v>
      </c>
      <c r="J67" s="60">
        <f t="shared" si="7"/>
        <v>40000</v>
      </c>
      <c r="K67" s="133">
        <f t="shared" si="7"/>
        <v>206172</v>
      </c>
      <c r="L67" s="60">
        <f t="shared" si="7"/>
        <v>66224</v>
      </c>
      <c r="M67" s="60">
        <f t="shared" si="7"/>
        <v>36224</v>
      </c>
      <c r="N67" s="60">
        <f t="shared" si="7"/>
        <v>78224</v>
      </c>
      <c r="O67" s="60">
        <f t="shared" si="7"/>
        <v>25500</v>
      </c>
      <c r="P67" s="62"/>
    </row>
    <row r="68" spans="1:16" ht="33" customHeight="1">
      <c r="A68" s="200"/>
      <c r="B68" s="200"/>
      <c r="C68" s="200" t="s">
        <v>29</v>
      </c>
      <c r="D68" s="209">
        <v>4.0999999999999996</v>
      </c>
      <c r="E68" s="209" t="s">
        <v>100</v>
      </c>
      <c r="F68" s="8">
        <v>71200</v>
      </c>
      <c r="G68" s="4" t="s">
        <v>33</v>
      </c>
      <c r="H68" s="69" t="s">
        <v>72</v>
      </c>
      <c r="I68" s="47">
        <f t="shared" si="0"/>
        <v>7000</v>
      </c>
      <c r="J68" s="47">
        <v>0</v>
      </c>
      <c r="K68" s="129">
        <f t="shared" si="1"/>
        <v>7000</v>
      </c>
      <c r="L68" s="51">
        <f>10*700</f>
        <v>7000</v>
      </c>
      <c r="M68" s="51">
        <v>0</v>
      </c>
      <c r="N68" s="51">
        <v>0</v>
      </c>
      <c r="O68" s="51">
        <v>0</v>
      </c>
      <c r="P68" s="25" t="s">
        <v>158</v>
      </c>
    </row>
    <row r="69" spans="1:16" ht="33" customHeight="1">
      <c r="A69" s="201"/>
      <c r="B69" s="201"/>
      <c r="C69" s="201"/>
      <c r="D69" s="210"/>
      <c r="E69" s="210"/>
      <c r="F69" s="8">
        <v>71300</v>
      </c>
      <c r="G69" s="9" t="s">
        <v>34</v>
      </c>
      <c r="H69" s="69" t="s">
        <v>72</v>
      </c>
      <c r="I69" s="47">
        <f t="shared" si="0"/>
        <v>3000</v>
      </c>
      <c r="J69" s="47">
        <v>0</v>
      </c>
      <c r="K69" s="129">
        <f t="shared" si="1"/>
        <v>3000</v>
      </c>
      <c r="L69" s="51">
        <v>3000</v>
      </c>
      <c r="M69" s="51">
        <v>0</v>
      </c>
      <c r="N69" s="51">
        <v>0</v>
      </c>
      <c r="O69" s="51">
        <v>0</v>
      </c>
      <c r="P69" s="25" t="s">
        <v>94</v>
      </c>
    </row>
    <row r="70" spans="1:16" ht="99.9" customHeight="1">
      <c r="A70" s="201"/>
      <c r="B70" s="201"/>
      <c r="C70" s="201"/>
      <c r="D70" s="210"/>
      <c r="E70" s="210"/>
      <c r="F70" s="11">
        <v>71600</v>
      </c>
      <c r="G70" s="46" t="s">
        <v>18</v>
      </c>
      <c r="H70" s="69" t="s">
        <v>72</v>
      </c>
      <c r="I70" s="47">
        <f t="shared" si="0"/>
        <v>3505</v>
      </c>
      <c r="J70" s="55">
        <v>0</v>
      </c>
      <c r="K70" s="129">
        <f t="shared" si="1"/>
        <v>3505</v>
      </c>
      <c r="L70" s="51">
        <f>5*281+1500+30*20</f>
        <v>3505</v>
      </c>
      <c r="M70" s="51">
        <v>0</v>
      </c>
      <c r="N70" s="51">
        <v>0</v>
      </c>
      <c r="O70" s="51">
        <v>0</v>
      </c>
      <c r="P70" s="25" t="s">
        <v>159</v>
      </c>
    </row>
    <row r="71" spans="1:16" ht="116.1" customHeight="1">
      <c r="A71" s="201"/>
      <c r="B71" s="201"/>
      <c r="C71" s="201"/>
      <c r="D71" s="210"/>
      <c r="E71" s="210"/>
      <c r="F71" s="8">
        <v>75700</v>
      </c>
      <c r="G71" s="4" t="s">
        <v>40</v>
      </c>
      <c r="H71" s="69" t="s">
        <v>32</v>
      </c>
      <c r="I71" s="47">
        <f t="shared" ref="I71:I95" si="8">K71-J71</f>
        <v>0</v>
      </c>
      <c r="J71" s="47">
        <f>K71</f>
        <v>2500</v>
      </c>
      <c r="K71" s="129">
        <f t="shared" ref="K71:K95" si="9">SUM(L71:O71)</f>
        <v>2500</v>
      </c>
      <c r="L71" s="51">
        <v>2500</v>
      </c>
      <c r="M71" s="51">
        <v>0</v>
      </c>
      <c r="N71" s="51">
        <v>0</v>
      </c>
      <c r="O71" s="51">
        <v>0</v>
      </c>
      <c r="P71" s="25" t="s">
        <v>109</v>
      </c>
    </row>
    <row r="72" spans="1:16" ht="33" customHeight="1">
      <c r="A72" s="201"/>
      <c r="B72" s="201"/>
      <c r="C72" s="201"/>
      <c r="D72" s="210">
        <v>4.2</v>
      </c>
      <c r="E72" s="215" t="s">
        <v>160</v>
      </c>
      <c r="F72" s="8">
        <v>72100</v>
      </c>
      <c r="G72" s="4" t="s">
        <v>35</v>
      </c>
      <c r="H72" s="69" t="s">
        <v>72</v>
      </c>
      <c r="I72" s="47">
        <f t="shared" si="8"/>
        <v>55000</v>
      </c>
      <c r="J72" s="47">
        <v>0</v>
      </c>
      <c r="K72" s="129">
        <f t="shared" si="9"/>
        <v>55000</v>
      </c>
      <c r="L72" s="51">
        <v>45000</v>
      </c>
      <c r="M72" s="51">
        <v>10000</v>
      </c>
      <c r="N72" s="51">
        <v>0</v>
      </c>
      <c r="O72" s="51">
        <v>0</v>
      </c>
      <c r="P72" s="25" t="s">
        <v>161</v>
      </c>
    </row>
    <row r="73" spans="1:16" ht="33" customHeight="1">
      <c r="A73" s="201"/>
      <c r="B73" s="201"/>
      <c r="C73" s="201"/>
      <c r="D73" s="210"/>
      <c r="E73" s="215"/>
      <c r="F73" s="8">
        <v>75700</v>
      </c>
      <c r="G73" s="4" t="s">
        <v>40</v>
      </c>
      <c r="H73" s="69" t="s">
        <v>72</v>
      </c>
      <c r="I73" s="47">
        <f t="shared" si="8"/>
        <v>2500</v>
      </c>
      <c r="J73" s="47">
        <v>0</v>
      </c>
      <c r="K73" s="129">
        <f t="shared" si="9"/>
        <v>2500</v>
      </c>
      <c r="L73" s="51">
        <v>0</v>
      </c>
      <c r="M73" s="51">
        <v>2500</v>
      </c>
      <c r="N73" s="51">
        <v>0</v>
      </c>
      <c r="O73" s="51">
        <v>0</v>
      </c>
      <c r="P73" s="25" t="s">
        <v>107</v>
      </c>
    </row>
    <row r="74" spans="1:16" ht="33" customHeight="1">
      <c r="A74" s="201"/>
      <c r="B74" s="201"/>
      <c r="C74" s="201"/>
      <c r="D74" s="209" t="s">
        <v>104</v>
      </c>
      <c r="E74" s="209" t="s">
        <v>30</v>
      </c>
      <c r="F74" s="8">
        <v>71200</v>
      </c>
      <c r="G74" s="4" t="s">
        <v>33</v>
      </c>
      <c r="H74" s="69" t="s">
        <v>72</v>
      </c>
      <c r="I74" s="47">
        <f t="shared" si="8"/>
        <v>7000</v>
      </c>
      <c r="J74" s="47">
        <v>0</v>
      </c>
      <c r="K74" s="129">
        <f t="shared" si="9"/>
        <v>7000</v>
      </c>
      <c r="L74" s="51">
        <v>7000</v>
      </c>
      <c r="M74" s="51">
        <v>0</v>
      </c>
      <c r="N74" s="51">
        <v>0</v>
      </c>
      <c r="O74" s="51">
        <v>0</v>
      </c>
      <c r="P74" s="25" t="s">
        <v>162</v>
      </c>
    </row>
    <row r="75" spans="1:16" ht="33" customHeight="1">
      <c r="A75" s="201"/>
      <c r="B75" s="201"/>
      <c r="C75" s="201"/>
      <c r="D75" s="210"/>
      <c r="E75" s="210"/>
      <c r="F75" s="8">
        <v>71300</v>
      </c>
      <c r="G75" s="9" t="s">
        <v>34</v>
      </c>
      <c r="H75" s="69" t="s">
        <v>32</v>
      </c>
      <c r="I75" s="47">
        <f t="shared" si="8"/>
        <v>0</v>
      </c>
      <c r="J75" s="47">
        <f>K75</f>
        <v>3000</v>
      </c>
      <c r="K75" s="129">
        <f t="shared" si="9"/>
        <v>3000</v>
      </c>
      <c r="L75" s="51">
        <v>3000</v>
      </c>
      <c r="M75" s="51">
        <v>0</v>
      </c>
      <c r="N75" s="51">
        <v>0</v>
      </c>
      <c r="O75" s="51">
        <v>0</v>
      </c>
      <c r="P75" s="25" t="s">
        <v>94</v>
      </c>
    </row>
    <row r="76" spans="1:16" ht="92.1" customHeight="1">
      <c r="A76" s="201"/>
      <c r="B76" s="201"/>
      <c r="C76" s="201"/>
      <c r="D76" s="210"/>
      <c r="E76" s="210"/>
      <c r="F76" s="11">
        <v>71600</v>
      </c>
      <c r="G76" s="46" t="s">
        <v>18</v>
      </c>
      <c r="H76" s="78" t="s">
        <v>72</v>
      </c>
      <c r="I76" s="47">
        <f t="shared" si="8"/>
        <v>3505</v>
      </c>
      <c r="J76" s="55">
        <v>0</v>
      </c>
      <c r="K76" s="129">
        <f t="shared" si="9"/>
        <v>3505</v>
      </c>
      <c r="L76" s="51">
        <f>5*281+1500+30*20</f>
        <v>3505</v>
      </c>
      <c r="M76" s="51">
        <v>0</v>
      </c>
      <c r="N76" s="51">
        <v>0</v>
      </c>
      <c r="O76" s="51">
        <v>0</v>
      </c>
      <c r="P76" s="25" t="s">
        <v>159</v>
      </c>
    </row>
    <row r="77" spans="1:16" ht="33" customHeight="1">
      <c r="A77" s="201"/>
      <c r="B77" s="201"/>
      <c r="C77" s="201"/>
      <c r="D77" s="210"/>
      <c r="E77" s="210"/>
      <c r="F77" s="8">
        <v>75700</v>
      </c>
      <c r="G77" s="4" t="s">
        <v>40</v>
      </c>
      <c r="H77" s="69" t="s">
        <v>32</v>
      </c>
      <c r="I77" s="47">
        <f t="shared" si="8"/>
        <v>0</v>
      </c>
      <c r="J77" s="47">
        <f>K77</f>
        <v>2500</v>
      </c>
      <c r="K77" s="129">
        <f t="shared" si="9"/>
        <v>2500</v>
      </c>
      <c r="L77" s="51">
        <v>2500</v>
      </c>
      <c r="M77" s="51">
        <v>0</v>
      </c>
      <c r="N77" s="51">
        <v>0</v>
      </c>
      <c r="O77" s="51">
        <v>0</v>
      </c>
      <c r="P77" s="25" t="s">
        <v>108</v>
      </c>
    </row>
    <row r="78" spans="1:16" ht="33" customHeight="1">
      <c r="A78" s="201"/>
      <c r="B78" s="201"/>
      <c r="C78" s="201"/>
      <c r="D78" s="209" t="s">
        <v>103</v>
      </c>
      <c r="E78" s="214" t="s">
        <v>101</v>
      </c>
      <c r="F78" s="8">
        <v>71200</v>
      </c>
      <c r="G78" s="4" t="s">
        <v>33</v>
      </c>
      <c r="H78" s="78" t="s">
        <v>32</v>
      </c>
      <c r="I78" s="47">
        <v>0</v>
      </c>
      <c r="J78" s="47">
        <v>70000</v>
      </c>
      <c r="K78" s="129">
        <f t="shared" si="9"/>
        <v>70000</v>
      </c>
      <c r="L78" s="51">
        <v>0</v>
      </c>
      <c r="M78" s="51">
        <v>35000</v>
      </c>
      <c r="N78" s="51">
        <v>0</v>
      </c>
      <c r="O78" s="51">
        <v>35000</v>
      </c>
      <c r="P78" s="25" t="s">
        <v>163</v>
      </c>
    </row>
    <row r="79" spans="1:16" ht="33" customHeight="1">
      <c r="A79" s="201"/>
      <c r="B79" s="201"/>
      <c r="C79" s="201"/>
      <c r="D79" s="210"/>
      <c r="E79" s="215"/>
      <c r="F79" s="8">
        <v>71300</v>
      </c>
      <c r="G79" s="9" t="s">
        <v>34</v>
      </c>
      <c r="H79" s="69" t="s">
        <v>72</v>
      </c>
      <c r="I79" s="47">
        <f t="shared" si="8"/>
        <v>30000</v>
      </c>
      <c r="J79" s="47">
        <v>0</v>
      </c>
      <c r="K79" s="129">
        <f t="shared" si="9"/>
        <v>30000</v>
      </c>
      <c r="L79" s="51">
        <v>0</v>
      </c>
      <c r="M79" s="51">
        <v>15000</v>
      </c>
      <c r="N79" s="51">
        <v>0</v>
      </c>
      <c r="O79" s="51">
        <v>15000</v>
      </c>
      <c r="P79" s="25" t="s">
        <v>164</v>
      </c>
    </row>
    <row r="80" spans="1:16" ht="105" customHeight="1">
      <c r="A80" s="201"/>
      <c r="B80" s="201"/>
      <c r="C80" s="201"/>
      <c r="D80" s="210"/>
      <c r="E80" s="215"/>
      <c r="F80" s="8">
        <v>71600</v>
      </c>
      <c r="G80" s="4" t="s">
        <v>18</v>
      </c>
      <c r="H80" s="69" t="s">
        <v>32</v>
      </c>
      <c r="I80" s="47">
        <v>0</v>
      </c>
      <c r="J80" s="47">
        <f>K80</f>
        <v>20000</v>
      </c>
      <c r="K80" s="129">
        <f t="shared" si="9"/>
        <v>20000</v>
      </c>
      <c r="L80" s="51">
        <v>5000</v>
      </c>
      <c r="M80" s="51">
        <v>5000</v>
      </c>
      <c r="N80" s="51">
        <v>5000</v>
      </c>
      <c r="O80" s="51">
        <v>5000</v>
      </c>
      <c r="P80" s="25" t="s">
        <v>212</v>
      </c>
    </row>
    <row r="81" spans="1:16" ht="38.1" customHeight="1">
      <c r="A81" s="201"/>
      <c r="B81" s="201"/>
      <c r="C81" s="201"/>
      <c r="D81" s="210"/>
      <c r="E81" s="215"/>
      <c r="F81" s="8">
        <v>75700</v>
      </c>
      <c r="G81" s="4" t="s">
        <v>40</v>
      </c>
      <c r="H81" s="69" t="s">
        <v>72</v>
      </c>
      <c r="I81" s="47">
        <f>K81</f>
        <v>4000</v>
      </c>
      <c r="J81" s="47">
        <v>0</v>
      </c>
      <c r="K81" s="129">
        <f t="shared" si="9"/>
        <v>4000</v>
      </c>
      <c r="L81" s="51">
        <v>4000</v>
      </c>
      <c r="M81" s="51">
        <v>0</v>
      </c>
      <c r="N81" s="51">
        <v>0</v>
      </c>
      <c r="O81" s="51">
        <v>0</v>
      </c>
      <c r="P81" s="25" t="s">
        <v>216</v>
      </c>
    </row>
    <row r="82" spans="1:16" ht="33" customHeight="1">
      <c r="A82" s="201"/>
      <c r="B82" s="201"/>
      <c r="C82" s="201"/>
      <c r="D82" s="210"/>
      <c r="E82" s="215"/>
      <c r="F82" s="8">
        <v>72300</v>
      </c>
      <c r="G82" s="4" t="s">
        <v>36</v>
      </c>
      <c r="H82" s="69" t="s">
        <v>32</v>
      </c>
      <c r="I82" s="47">
        <f t="shared" si="8"/>
        <v>0</v>
      </c>
      <c r="J82" s="57">
        <v>55000</v>
      </c>
      <c r="K82" s="129">
        <f t="shared" si="9"/>
        <v>55000</v>
      </c>
      <c r="L82" s="51">
        <v>55000</v>
      </c>
      <c r="M82" s="51">
        <v>0</v>
      </c>
      <c r="N82" s="51">
        <v>0</v>
      </c>
      <c r="O82" s="51">
        <v>0</v>
      </c>
      <c r="P82" s="25" t="s">
        <v>98</v>
      </c>
    </row>
    <row r="83" spans="1:16" ht="33" customHeight="1">
      <c r="A83" s="201"/>
      <c r="B83" s="201"/>
      <c r="C83" s="201"/>
      <c r="D83" s="210"/>
      <c r="E83" s="215"/>
      <c r="F83" s="8">
        <v>74200</v>
      </c>
      <c r="G83" s="4" t="s">
        <v>38</v>
      </c>
      <c r="H83" s="69" t="s">
        <v>32</v>
      </c>
      <c r="I83" s="47">
        <f t="shared" si="8"/>
        <v>0</v>
      </c>
      <c r="J83" s="55">
        <v>10000</v>
      </c>
      <c r="K83" s="129">
        <f t="shared" si="9"/>
        <v>10000</v>
      </c>
      <c r="L83" s="51">
        <v>0</v>
      </c>
      <c r="M83" s="51">
        <v>5000</v>
      </c>
      <c r="N83" s="51">
        <v>0</v>
      </c>
      <c r="O83" s="51">
        <v>5000</v>
      </c>
      <c r="P83" s="25" t="s">
        <v>116</v>
      </c>
    </row>
    <row r="84" spans="1:16" ht="72.900000000000006" customHeight="1">
      <c r="A84" s="201"/>
      <c r="B84" s="201"/>
      <c r="C84" s="201"/>
      <c r="D84" s="210">
        <v>4.5</v>
      </c>
      <c r="E84" s="218" t="s">
        <v>102</v>
      </c>
      <c r="F84" s="8">
        <v>71600</v>
      </c>
      <c r="G84" s="4" t="s">
        <v>18</v>
      </c>
      <c r="H84" s="69" t="s">
        <v>72</v>
      </c>
      <c r="I84" s="47">
        <f t="shared" si="8"/>
        <v>15744</v>
      </c>
      <c r="J84" s="47"/>
      <c r="K84" s="129">
        <f t="shared" si="9"/>
        <v>15744</v>
      </c>
      <c r="L84" s="51">
        <v>0</v>
      </c>
      <c r="M84" s="51">
        <f>6*4*281+6*1500</f>
        <v>15744</v>
      </c>
      <c r="N84" s="51">
        <v>0</v>
      </c>
      <c r="O84" s="51">
        <v>0</v>
      </c>
      <c r="P84" s="25" t="s">
        <v>165</v>
      </c>
    </row>
    <row r="85" spans="1:16" ht="54.9" customHeight="1">
      <c r="A85" s="201"/>
      <c r="B85" s="201"/>
      <c r="C85" s="201"/>
      <c r="D85" s="210"/>
      <c r="E85" s="218"/>
      <c r="F85" s="8">
        <v>72100</v>
      </c>
      <c r="G85" s="4" t="s">
        <v>35</v>
      </c>
      <c r="H85" s="69" t="s">
        <v>72</v>
      </c>
      <c r="I85" s="47">
        <f t="shared" si="8"/>
        <v>10000</v>
      </c>
      <c r="J85" s="47"/>
      <c r="K85" s="129">
        <f t="shared" si="9"/>
        <v>10000</v>
      </c>
      <c r="L85" s="51">
        <v>0</v>
      </c>
      <c r="M85" s="51">
        <v>5000</v>
      </c>
      <c r="N85" s="51">
        <v>0</v>
      </c>
      <c r="O85" s="51">
        <v>5000</v>
      </c>
      <c r="P85" s="25" t="s">
        <v>59</v>
      </c>
    </row>
    <row r="86" spans="1:16" ht="33" customHeight="1">
      <c r="A86" s="201"/>
      <c r="B86" s="201"/>
      <c r="C86" s="201"/>
      <c r="D86" s="210"/>
      <c r="E86" s="218"/>
      <c r="F86" s="8">
        <v>74200</v>
      </c>
      <c r="G86" s="4" t="s">
        <v>38</v>
      </c>
      <c r="H86" s="69" t="s">
        <v>72</v>
      </c>
      <c r="I86" s="47">
        <f t="shared" si="8"/>
        <v>5000</v>
      </c>
      <c r="J86" s="47"/>
      <c r="K86" s="129">
        <f t="shared" si="9"/>
        <v>5000</v>
      </c>
      <c r="L86" s="51">
        <v>0</v>
      </c>
      <c r="M86" s="51">
        <v>2500</v>
      </c>
      <c r="N86" s="51">
        <v>0</v>
      </c>
      <c r="O86" s="51">
        <v>2500</v>
      </c>
      <c r="P86" s="25" t="s">
        <v>112</v>
      </c>
    </row>
    <row r="87" spans="1:16" ht="33" customHeight="1">
      <c r="A87" s="201"/>
      <c r="B87" s="201"/>
      <c r="C87" s="201"/>
      <c r="D87" s="216">
        <v>4.5999999999999996</v>
      </c>
      <c r="E87" s="215" t="s">
        <v>166</v>
      </c>
      <c r="F87" s="8">
        <v>71300</v>
      </c>
      <c r="G87" s="9" t="s">
        <v>34</v>
      </c>
      <c r="H87" s="69" t="s">
        <v>32</v>
      </c>
      <c r="I87" s="47">
        <f t="shared" si="8"/>
        <v>0</v>
      </c>
      <c r="J87" s="55">
        <v>3000</v>
      </c>
      <c r="K87" s="129">
        <f t="shared" si="9"/>
        <v>3000</v>
      </c>
      <c r="L87" s="51">
        <v>1500</v>
      </c>
      <c r="M87" s="51">
        <v>1500</v>
      </c>
      <c r="N87" s="51">
        <v>0</v>
      </c>
      <c r="O87" s="51">
        <v>0</v>
      </c>
      <c r="P87" s="52"/>
    </row>
    <row r="88" spans="1:16" ht="57.9" customHeight="1">
      <c r="A88" s="201"/>
      <c r="B88" s="201"/>
      <c r="C88" s="201"/>
      <c r="D88" s="216"/>
      <c r="E88" s="215"/>
      <c r="F88" s="8">
        <v>71600</v>
      </c>
      <c r="G88" s="4" t="s">
        <v>18</v>
      </c>
      <c r="H88" s="69" t="s">
        <v>72</v>
      </c>
      <c r="I88" s="47">
        <f t="shared" si="8"/>
        <v>1200</v>
      </c>
      <c r="J88" s="47"/>
      <c r="K88" s="129">
        <f t="shared" si="9"/>
        <v>1200</v>
      </c>
      <c r="L88" s="51">
        <f>30*20</f>
        <v>600</v>
      </c>
      <c r="M88" s="51">
        <f>30*20</f>
        <v>600</v>
      </c>
      <c r="N88" s="51">
        <v>0</v>
      </c>
      <c r="O88" s="51">
        <v>0</v>
      </c>
      <c r="P88" s="25" t="s">
        <v>167</v>
      </c>
    </row>
    <row r="89" spans="1:16" ht="33" customHeight="1">
      <c r="A89" s="201"/>
      <c r="B89" s="201"/>
      <c r="C89" s="201"/>
      <c r="D89" s="216"/>
      <c r="E89" s="215"/>
      <c r="F89" s="8">
        <v>72100</v>
      </c>
      <c r="G89" s="4" t="s">
        <v>35</v>
      </c>
      <c r="H89" s="69" t="s">
        <v>72</v>
      </c>
      <c r="I89" s="47">
        <f t="shared" si="8"/>
        <v>7000</v>
      </c>
      <c r="J89" s="55"/>
      <c r="K89" s="129">
        <f t="shared" si="9"/>
        <v>7000</v>
      </c>
      <c r="L89" s="51">
        <v>3500</v>
      </c>
      <c r="M89" s="51">
        <v>3500</v>
      </c>
      <c r="N89" s="51">
        <v>0</v>
      </c>
      <c r="O89" s="51">
        <v>0</v>
      </c>
      <c r="P89" s="25" t="s">
        <v>106</v>
      </c>
    </row>
    <row r="90" spans="1:16" ht="33" customHeight="1">
      <c r="A90" s="201"/>
      <c r="B90" s="201"/>
      <c r="C90" s="201"/>
      <c r="D90" s="216"/>
      <c r="E90" s="215"/>
      <c r="F90" s="8">
        <v>75700</v>
      </c>
      <c r="G90" s="4" t="s">
        <v>40</v>
      </c>
      <c r="H90" s="69" t="s">
        <v>72</v>
      </c>
      <c r="I90" s="47">
        <f t="shared" si="8"/>
        <v>5000</v>
      </c>
      <c r="J90" s="47"/>
      <c r="K90" s="129">
        <f t="shared" si="9"/>
        <v>5000</v>
      </c>
      <c r="L90" s="51">
        <v>2500</v>
      </c>
      <c r="M90" s="51">
        <v>2500</v>
      </c>
      <c r="N90" s="51">
        <v>0</v>
      </c>
      <c r="O90" s="51">
        <v>0</v>
      </c>
      <c r="P90" s="25" t="s">
        <v>81</v>
      </c>
    </row>
    <row r="91" spans="1:16" ht="33" customHeight="1">
      <c r="A91" s="201"/>
      <c r="B91" s="201"/>
      <c r="C91" s="201"/>
      <c r="D91" s="208">
        <v>4.7</v>
      </c>
      <c r="E91" s="217" t="s">
        <v>46</v>
      </c>
      <c r="F91" s="8">
        <v>72100</v>
      </c>
      <c r="G91" s="4" t="s">
        <v>35</v>
      </c>
      <c r="H91" s="69" t="s">
        <v>72</v>
      </c>
      <c r="I91" s="47">
        <f t="shared" si="8"/>
        <v>5000</v>
      </c>
      <c r="J91" s="55"/>
      <c r="K91" s="129">
        <f t="shared" si="9"/>
        <v>5000</v>
      </c>
      <c r="L91" s="51">
        <v>0</v>
      </c>
      <c r="M91" s="51">
        <v>0</v>
      </c>
      <c r="N91" s="51">
        <v>0</v>
      </c>
      <c r="O91" s="51">
        <v>5000</v>
      </c>
      <c r="P91" s="25" t="s">
        <v>95</v>
      </c>
    </row>
    <row r="92" spans="1:16" ht="33" customHeight="1">
      <c r="A92" s="201"/>
      <c r="B92" s="201"/>
      <c r="C92" s="201"/>
      <c r="D92" s="208"/>
      <c r="E92" s="217"/>
      <c r="F92" s="8">
        <v>74200</v>
      </c>
      <c r="G92" s="4" t="s">
        <v>38</v>
      </c>
      <c r="H92" s="69" t="s">
        <v>72</v>
      </c>
      <c r="I92" s="47">
        <f t="shared" si="8"/>
        <v>3000</v>
      </c>
      <c r="J92" s="47"/>
      <c r="K92" s="129">
        <f t="shared" si="9"/>
        <v>3000</v>
      </c>
      <c r="L92" s="51">
        <v>0</v>
      </c>
      <c r="M92" s="51">
        <v>0</v>
      </c>
      <c r="N92" s="51">
        <v>0</v>
      </c>
      <c r="O92" s="51">
        <v>3000</v>
      </c>
      <c r="P92" s="25" t="s">
        <v>96</v>
      </c>
    </row>
    <row r="93" spans="1:16" ht="33" customHeight="1">
      <c r="A93" s="201"/>
      <c r="B93" s="201"/>
      <c r="C93" s="201"/>
      <c r="D93" s="209" t="s">
        <v>105</v>
      </c>
      <c r="E93" s="214" t="s">
        <v>47</v>
      </c>
      <c r="F93" s="8">
        <v>71200</v>
      </c>
      <c r="G93" s="4" t="s">
        <v>33</v>
      </c>
      <c r="H93" s="69" t="s">
        <v>72</v>
      </c>
      <c r="I93" s="47">
        <f t="shared" si="8"/>
        <v>7000</v>
      </c>
      <c r="J93" s="47"/>
      <c r="K93" s="129">
        <f t="shared" si="9"/>
        <v>7000</v>
      </c>
      <c r="L93" s="51">
        <v>0</v>
      </c>
      <c r="M93" s="51">
        <v>0</v>
      </c>
      <c r="N93" s="51">
        <v>0</v>
      </c>
      <c r="O93" s="51">
        <v>7000</v>
      </c>
      <c r="P93" s="25" t="s">
        <v>121</v>
      </c>
    </row>
    <row r="94" spans="1:16" ht="33" customHeight="1">
      <c r="A94" s="201"/>
      <c r="B94" s="201"/>
      <c r="C94" s="201"/>
      <c r="D94" s="210"/>
      <c r="E94" s="215"/>
      <c r="F94" s="8">
        <v>71300</v>
      </c>
      <c r="G94" s="9" t="s">
        <v>34</v>
      </c>
      <c r="H94" s="69" t="s">
        <v>72</v>
      </c>
      <c r="I94" s="47">
        <f t="shared" si="8"/>
        <v>3000</v>
      </c>
      <c r="J94" s="47"/>
      <c r="K94" s="129">
        <f t="shared" si="9"/>
        <v>3000</v>
      </c>
      <c r="L94" s="51">
        <v>0</v>
      </c>
      <c r="M94" s="51">
        <v>0</v>
      </c>
      <c r="N94" s="51">
        <v>0</v>
      </c>
      <c r="O94" s="51">
        <v>3000</v>
      </c>
      <c r="P94" s="25" t="s">
        <v>80</v>
      </c>
    </row>
    <row r="95" spans="1:16" ht="33" customHeight="1">
      <c r="A95" s="201"/>
      <c r="B95" s="201"/>
      <c r="C95" s="201"/>
      <c r="D95" s="210"/>
      <c r="E95" s="215"/>
      <c r="F95" s="8">
        <v>71600</v>
      </c>
      <c r="G95" s="4" t="s">
        <v>18</v>
      </c>
      <c r="H95" s="69" t="s">
        <v>72</v>
      </c>
      <c r="I95" s="47">
        <f t="shared" si="8"/>
        <v>1500</v>
      </c>
      <c r="J95" s="47"/>
      <c r="K95" s="129">
        <f t="shared" si="9"/>
        <v>1500</v>
      </c>
      <c r="L95" s="51">
        <v>0</v>
      </c>
      <c r="M95" s="51">
        <v>0</v>
      </c>
      <c r="N95" s="51">
        <v>0</v>
      </c>
      <c r="O95" s="51">
        <v>1500</v>
      </c>
      <c r="P95" s="25" t="s">
        <v>97</v>
      </c>
    </row>
    <row r="96" spans="1:16" s="63" customFormat="1" ht="33" customHeight="1">
      <c r="A96" s="65" t="s">
        <v>17</v>
      </c>
      <c r="B96" s="65"/>
      <c r="C96" s="65"/>
      <c r="D96" s="65"/>
      <c r="E96" s="65"/>
      <c r="F96" s="65"/>
      <c r="G96" s="66" t="s">
        <v>117</v>
      </c>
      <c r="H96" s="73"/>
      <c r="I96" s="67">
        <f t="shared" ref="I96:O96" si="10">SUM(I68:I95)</f>
        <v>178954</v>
      </c>
      <c r="J96" s="67">
        <f t="shared" si="10"/>
        <v>166000</v>
      </c>
      <c r="K96" s="67">
        <f t="shared" si="10"/>
        <v>344954</v>
      </c>
      <c r="L96" s="60">
        <f t="shared" si="10"/>
        <v>149110</v>
      </c>
      <c r="M96" s="60">
        <f t="shared" si="10"/>
        <v>103844</v>
      </c>
      <c r="N96" s="60">
        <f t="shared" si="10"/>
        <v>5000</v>
      </c>
      <c r="O96" s="60">
        <f t="shared" si="10"/>
        <v>87000</v>
      </c>
      <c r="P96" s="62"/>
    </row>
    <row r="97" spans="1:56" ht="26.1" customHeight="1">
      <c r="A97" s="17"/>
      <c r="B97" s="17"/>
      <c r="C97" s="17"/>
      <c r="D97" s="38" t="s">
        <v>2</v>
      </c>
      <c r="E97" s="39"/>
      <c r="F97" s="40"/>
      <c r="G97" s="40"/>
      <c r="H97" s="74"/>
      <c r="I97" s="48">
        <f t="shared" ref="I97:O97" si="11">I32+I52+I67+I96</f>
        <v>840895</v>
      </c>
      <c r="J97" s="48">
        <f t="shared" si="11"/>
        <v>690870</v>
      </c>
      <c r="K97" s="48">
        <f t="shared" si="11"/>
        <v>1531765</v>
      </c>
      <c r="L97" s="5">
        <f t="shared" si="11"/>
        <v>377085</v>
      </c>
      <c r="M97" s="5">
        <f t="shared" si="11"/>
        <v>677636</v>
      </c>
      <c r="N97" s="5">
        <f t="shared" si="11"/>
        <v>337935</v>
      </c>
      <c r="O97" s="5">
        <f t="shared" si="11"/>
        <v>139109</v>
      </c>
      <c r="P97" s="21"/>
    </row>
    <row r="98" spans="1:56" ht="54" customHeight="1">
      <c r="A98" s="17"/>
      <c r="B98" s="17"/>
      <c r="C98" s="17"/>
      <c r="D98" s="26"/>
      <c r="E98" s="43"/>
      <c r="F98" s="8">
        <v>71300</v>
      </c>
      <c r="G98" s="4" t="s">
        <v>34</v>
      </c>
      <c r="H98" s="69" t="s">
        <v>72</v>
      </c>
      <c r="I98" s="47">
        <f>K98-J98</f>
        <v>66384</v>
      </c>
      <c r="J98" s="47">
        <v>0</v>
      </c>
      <c r="K98" s="129">
        <f t="shared" ref="K98:K103" si="12">SUM(L98:O98)</f>
        <v>66384</v>
      </c>
      <c r="L98" s="51">
        <f>12*1383</f>
        <v>16596</v>
      </c>
      <c r="M98" s="51">
        <f t="shared" ref="M98:O98" si="13">12*1383</f>
        <v>16596</v>
      </c>
      <c r="N98" s="51">
        <f t="shared" si="13"/>
        <v>16596</v>
      </c>
      <c r="O98" s="51">
        <f t="shared" si="13"/>
        <v>16596</v>
      </c>
      <c r="P98" s="170" t="s">
        <v>259</v>
      </c>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row>
    <row r="99" spans="1:56" ht="78.900000000000006" customHeight="1">
      <c r="A99" s="17"/>
      <c r="B99" s="17"/>
      <c r="C99" s="17"/>
      <c r="D99" s="53"/>
      <c r="E99" s="43"/>
      <c r="F99" s="8">
        <v>71300</v>
      </c>
      <c r="G99" s="4" t="s">
        <v>34</v>
      </c>
      <c r="H99" s="69" t="s">
        <v>32</v>
      </c>
      <c r="I99" s="47">
        <v>0</v>
      </c>
      <c r="J99" s="47">
        <f>K99</f>
        <v>98304</v>
      </c>
      <c r="K99" s="129">
        <f t="shared" si="12"/>
        <v>98304</v>
      </c>
      <c r="L99" s="51">
        <f>(12*1710)+(12*338)</f>
        <v>24576</v>
      </c>
      <c r="M99" s="51">
        <f t="shared" ref="M99:O99" si="14">(12*1710)+(12*338)</f>
        <v>24576</v>
      </c>
      <c r="N99" s="51">
        <f t="shared" si="14"/>
        <v>24576</v>
      </c>
      <c r="O99" s="51">
        <f t="shared" si="14"/>
        <v>24576</v>
      </c>
      <c r="P99" s="25" t="s">
        <v>258</v>
      </c>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row>
    <row r="100" spans="1:56" ht="33" customHeight="1">
      <c r="A100" s="17"/>
      <c r="B100" s="17"/>
      <c r="C100" s="17"/>
      <c r="D100" s="26"/>
      <c r="E100" s="43"/>
      <c r="F100" s="8">
        <v>74500</v>
      </c>
      <c r="G100" s="4" t="s">
        <v>39</v>
      </c>
      <c r="H100" s="69" t="s">
        <v>72</v>
      </c>
      <c r="I100" s="47">
        <f>K100</f>
        <v>1287</v>
      </c>
      <c r="J100" s="47">
        <f>K100-I100</f>
        <v>0</v>
      </c>
      <c r="K100" s="129">
        <f t="shared" si="12"/>
        <v>1287</v>
      </c>
      <c r="L100" s="51">
        <v>1113</v>
      </c>
      <c r="M100" s="51">
        <v>174</v>
      </c>
      <c r="N100" s="51">
        <v>0</v>
      </c>
      <c r="O100" s="51">
        <v>0</v>
      </c>
      <c r="P100" s="52"/>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row>
    <row r="101" spans="1:56" ht="33" customHeight="1">
      <c r="A101" s="17"/>
      <c r="B101" s="17"/>
      <c r="C101" s="17"/>
      <c r="D101" s="53"/>
      <c r="E101" s="43"/>
      <c r="F101" s="8">
        <v>74500</v>
      </c>
      <c r="G101" s="4" t="s">
        <v>39</v>
      </c>
      <c r="H101" s="69" t="s">
        <v>32</v>
      </c>
      <c r="I101" s="47">
        <v>0</v>
      </c>
      <c r="J101" s="47">
        <f>K101</f>
        <v>2826</v>
      </c>
      <c r="K101" s="129">
        <f t="shared" si="12"/>
        <v>2826</v>
      </c>
      <c r="L101" s="51">
        <v>0</v>
      </c>
      <c r="M101" s="51">
        <v>826</v>
      </c>
      <c r="N101" s="51">
        <v>1000</v>
      </c>
      <c r="O101" s="51">
        <v>1000</v>
      </c>
      <c r="P101" s="52"/>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row>
    <row r="102" spans="1:56" ht="33" customHeight="1">
      <c r="A102" s="17"/>
      <c r="B102" s="17"/>
      <c r="C102" s="17"/>
      <c r="D102" s="26"/>
      <c r="E102" s="43"/>
      <c r="F102" s="8">
        <v>72800</v>
      </c>
      <c r="G102" s="4" t="s">
        <v>41</v>
      </c>
      <c r="H102" s="69" t="s">
        <v>32</v>
      </c>
      <c r="I102" s="47">
        <f t="shared" ref="I102:I103" si="15">K102-J102</f>
        <v>0</v>
      </c>
      <c r="J102" s="47">
        <f>K102</f>
        <v>8000</v>
      </c>
      <c r="K102" s="129">
        <f t="shared" si="12"/>
        <v>8000</v>
      </c>
      <c r="L102" s="51">
        <v>8000</v>
      </c>
      <c r="M102" s="51">
        <v>0</v>
      </c>
      <c r="N102" s="51">
        <v>0</v>
      </c>
      <c r="O102" s="51">
        <v>0</v>
      </c>
      <c r="P102" s="25" t="s">
        <v>99</v>
      </c>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row>
    <row r="103" spans="1:56" ht="33" customHeight="1">
      <c r="A103" s="17"/>
      <c r="B103" s="17"/>
      <c r="C103" s="17"/>
      <c r="D103" s="26"/>
      <c r="E103" s="44"/>
      <c r="F103" s="8">
        <v>74100</v>
      </c>
      <c r="G103" s="4" t="s">
        <v>42</v>
      </c>
      <c r="H103" s="69" t="s">
        <v>72</v>
      </c>
      <c r="I103" s="47">
        <f t="shared" si="15"/>
        <v>16000</v>
      </c>
      <c r="J103" s="47">
        <v>0</v>
      </c>
      <c r="K103" s="129">
        <f t="shared" si="12"/>
        <v>16000</v>
      </c>
      <c r="L103" s="51">
        <v>4000</v>
      </c>
      <c r="M103" s="51">
        <v>4000</v>
      </c>
      <c r="N103" s="51">
        <v>4000</v>
      </c>
      <c r="O103" s="51">
        <v>4000</v>
      </c>
      <c r="P103" s="25" t="s">
        <v>113</v>
      </c>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row>
    <row r="104" spans="1:56" ht="48" customHeight="1">
      <c r="A104" s="19"/>
      <c r="B104" s="19"/>
      <c r="C104" s="19"/>
      <c r="D104" s="41" t="s">
        <v>4</v>
      </c>
      <c r="E104" s="42"/>
      <c r="F104" s="15"/>
      <c r="G104" s="15"/>
      <c r="H104" s="75"/>
      <c r="I104" s="68">
        <f t="shared" ref="I104:J104" si="16">SUM(I98:I103)</f>
        <v>83671</v>
      </c>
      <c r="J104" s="49">
        <f t="shared" si="16"/>
        <v>109130</v>
      </c>
      <c r="K104" s="49">
        <f>SUM(K98:K103)</f>
        <v>192801</v>
      </c>
      <c r="L104" s="49">
        <f>SUM(L98:L103)</f>
        <v>54285</v>
      </c>
      <c r="M104" s="49">
        <f>SUM(M98:M103)</f>
        <v>46172</v>
      </c>
      <c r="N104" s="49">
        <f>SUM(N98:N103)</f>
        <v>46172</v>
      </c>
      <c r="O104" s="49">
        <f>SUM(O98:O103)</f>
        <v>46172</v>
      </c>
      <c r="P104" s="19"/>
    </row>
    <row r="105" spans="1:56" s="6" customFormat="1" ht="18.75" customHeight="1">
      <c r="A105" s="18"/>
      <c r="B105" s="18"/>
      <c r="C105" s="18"/>
      <c r="D105" s="28" t="s">
        <v>3</v>
      </c>
      <c r="E105" s="29"/>
      <c r="F105" s="30"/>
      <c r="G105" s="30"/>
      <c r="H105" s="76">
        <f>I105+J105</f>
        <v>1724566</v>
      </c>
      <c r="I105" s="14">
        <f t="shared" ref="I105:J105" si="17">I97+I104</f>
        <v>924566</v>
      </c>
      <c r="J105" s="14">
        <f t="shared" si="17"/>
        <v>800000</v>
      </c>
      <c r="K105" s="14">
        <f>K97+K104</f>
        <v>1724566</v>
      </c>
      <c r="L105" s="14">
        <f t="shared" ref="L105:O105" si="18">L97+L104</f>
        <v>431370</v>
      </c>
      <c r="M105" s="14">
        <f t="shared" si="18"/>
        <v>723808</v>
      </c>
      <c r="N105" s="14">
        <f t="shared" si="18"/>
        <v>384107</v>
      </c>
      <c r="O105" s="14">
        <f t="shared" si="18"/>
        <v>185281</v>
      </c>
      <c r="P105" s="22"/>
      <c r="Q105" s="13"/>
      <c r="R105" s="13"/>
      <c r="S105" s="13"/>
      <c r="T105" s="13"/>
      <c r="U105" s="13"/>
      <c r="V105" s="13"/>
      <c r="W105" s="13"/>
      <c r="X105" s="13"/>
      <c r="Y105" s="13"/>
      <c r="Z105" s="13"/>
      <c r="AA105" s="13"/>
      <c r="AB105" s="13"/>
      <c r="AC105" s="13"/>
      <c r="AD105" s="13"/>
      <c r="AE105" s="13"/>
      <c r="AF105" s="13"/>
      <c r="AG105" s="13"/>
      <c r="AH105" s="13"/>
      <c r="AI105" s="13"/>
      <c r="AJ105" s="13"/>
      <c r="AK105" s="13"/>
      <c r="AL105" s="13"/>
      <c r="AM105" s="13"/>
      <c r="AN105" s="13"/>
      <c r="AO105" s="13"/>
      <c r="AP105" s="13"/>
      <c r="AQ105" s="13"/>
      <c r="AR105" s="13"/>
      <c r="AS105" s="13"/>
      <c r="AT105" s="13"/>
      <c r="AU105" s="13"/>
      <c r="AV105" s="13"/>
      <c r="AW105" s="13"/>
      <c r="AX105" s="13"/>
      <c r="AY105" s="13"/>
      <c r="AZ105" s="13"/>
      <c r="BA105" s="13"/>
      <c r="BB105" s="13"/>
      <c r="BC105" s="13"/>
      <c r="BD105" s="13"/>
    </row>
    <row r="106" spans="1:56">
      <c r="P106" s="10"/>
    </row>
    <row r="107" spans="1:56">
      <c r="G107" s="1" t="s">
        <v>213</v>
      </c>
      <c r="H107" s="147">
        <v>1724566</v>
      </c>
      <c r="I107" s="147">
        <v>924566</v>
      </c>
      <c r="J107" s="147">
        <v>800000</v>
      </c>
      <c r="P107" s="10"/>
    </row>
    <row r="108" spans="1:56">
      <c r="P108" s="10"/>
    </row>
    <row r="109" spans="1:56">
      <c r="P109" s="10"/>
    </row>
    <row r="110" spans="1:56">
      <c r="P110" s="10"/>
    </row>
    <row r="111" spans="1:56">
      <c r="P111" s="10"/>
    </row>
    <row r="112" spans="1:56">
      <c r="P112" s="10"/>
    </row>
    <row r="113" spans="16:16">
      <c r="P113" s="10"/>
    </row>
    <row r="114" spans="16:16">
      <c r="P114" s="10"/>
    </row>
    <row r="115" spans="16:16">
      <c r="P115" s="10"/>
    </row>
    <row r="116" spans="16:16">
      <c r="P116" s="10"/>
    </row>
    <row r="117" spans="16:16">
      <c r="P117" s="10"/>
    </row>
    <row r="118" spans="16:16">
      <c r="P118" s="10"/>
    </row>
    <row r="119" spans="16:16">
      <c r="P119" s="10"/>
    </row>
    <row r="120" spans="16:16">
      <c r="P120" s="10"/>
    </row>
    <row r="121" spans="16:16">
      <c r="P121" s="10"/>
    </row>
    <row r="122" spans="16:16">
      <c r="P122" s="10"/>
    </row>
    <row r="123" spans="16:16">
      <c r="P123" s="10"/>
    </row>
    <row r="124" spans="16:16">
      <c r="P124" s="10"/>
    </row>
    <row r="125" spans="16:16">
      <c r="P125" s="10"/>
    </row>
    <row r="126" spans="16:16">
      <c r="P126" s="10"/>
    </row>
    <row r="127" spans="16:16">
      <c r="P127" s="10"/>
    </row>
    <row r="128" spans="16:16">
      <c r="P128" s="10"/>
    </row>
    <row r="129" spans="16:16">
      <c r="P129" s="10"/>
    </row>
    <row r="130" spans="16:16">
      <c r="P130" s="10"/>
    </row>
    <row r="131" spans="16:16">
      <c r="P131" s="10"/>
    </row>
    <row r="132" spans="16:16">
      <c r="P132" s="10"/>
    </row>
    <row r="133" spans="16:16">
      <c r="P133" s="10"/>
    </row>
    <row r="134" spans="16:16">
      <c r="P134" s="10"/>
    </row>
    <row r="135" spans="16:16">
      <c r="P135" s="10"/>
    </row>
    <row r="136" spans="16:16">
      <c r="P136" s="10"/>
    </row>
    <row r="137" spans="16:16">
      <c r="P137" s="10"/>
    </row>
    <row r="138" spans="16:16">
      <c r="P138" s="10"/>
    </row>
    <row r="139" spans="16:16">
      <c r="P139" s="10"/>
    </row>
    <row r="140" spans="16:16">
      <c r="P140" s="10"/>
    </row>
    <row r="141" spans="16:16">
      <c r="P141" s="10"/>
    </row>
    <row r="142" spans="16:16">
      <c r="P142" s="10"/>
    </row>
    <row r="143" spans="16:16">
      <c r="P143" s="10"/>
    </row>
    <row r="144" spans="16:16">
      <c r="P144" s="10"/>
    </row>
    <row r="145" spans="16:16">
      <c r="P145" s="10"/>
    </row>
    <row r="146" spans="16:16">
      <c r="P146" s="10"/>
    </row>
    <row r="147" spans="16:16">
      <c r="P147" s="10"/>
    </row>
    <row r="148" spans="16:16">
      <c r="P148" s="10"/>
    </row>
    <row r="149" spans="16:16">
      <c r="P149" s="10"/>
    </row>
    <row r="150" spans="16:16">
      <c r="P150" s="10"/>
    </row>
    <row r="151" spans="16:16">
      <c r="P151" s="10"/>
    </row>
    <row r="152" spans="16:16">
      <c r="P152" s="10"/>
    </row>
    <row r="153" spans="16:16">
      <c r="P153" s="10"/>
    </row>
    <row r="154" spans="16:16">
      <c r="P154" s="10"/>
    </row>
    <row r="155" spans="16:16">
      <c r="P155" s="10"/>
    </row>
    <row r="156" spans="16:16">
      <c r="P156" s="10"/>
    </row>
    <row r="157" spans="16:16">
      <c r="P157" s="10"/>
    </row>
    <row r="158" spans="16:16">
      <c r="P158" s="10"/>
    </row>
    <row r="159" spans="16:16">
      <c r="P159" s="10"/>
    </row>
    <row r="160" spans="16:16">
      <c r="P160" s="10"/>
    </row>
    <row r="161" spans="16:16">
      <c r="P161" s="10"/>
    </row>
    <row r="162" spans="16:16">
      <c r="P162" s="10"/>
    </row>
    <row r="163" spans="16:16">
      <c r="P163" s="10"/>
    </row>
    <row r="164" spans="16:16">
      <c r="P164" s="10"/>
    </row>
    <row r="165" spans="16:16">
      <c r="P165" s="10"/>
    </row>
    <row r="166" spans="16:16">
      <c r="P166" s="10"/>
    </row>
    <row r="167" spans="16:16">
      <c r="P167" s="10"/>
    </row>
    <row r="168" spans="16:16">
      <c r="P168" s="10"/>
    </row>
    <row r="169" spans="16:16">
      <c r="P169" s="10"/>
    </row>
    <row r="170" spans="16:16">
      <c r="P170" s="10"/>
    </row>
    <row r="171" spans="16:16">
      <c r="P171" s="10"/>
    </row>
    <row r="172" spans="16:16">
      <c r="P172" s="10"/>
    </row>
    <row r="173" spans="16:16">
      <c r="P173" s="10"/>
    </row>
    <row r="174" spans="16:16">
      <c r="P174" s="10"/>
    </row>
    <row r="175" spans="16:16">
      <c r="P175" s="10"/>
    </row>
    <row r="176" spans="16:16">
      <c r="P176" s="10"/>
    </row>
    <row r="177" spans="16:16">
      <c r="P177" s="10"/>
    </row>
    <row r="178" spans="16:16">
      <c r="P178" s="10"/>
    </row>
    <row r="179" spans="16:16">
      <c r="P179" s="10"/>
    </row>
    <row r="180" spans="16:16">
      <c r="P180" s="10"/>
    </row>
    <row r="181" spans="16:16">
      <c r="P181" s="10"/>
    </row>
    <row r="182" spans="16:16">
      <c r="P182" s="10"/>
    </row>
    <row r="183" spans="16:16">
      <c r="P183" s="10"/>
    </row>
    <row r="184" spans="16:16">
      <c r="P184" s="10"/>
    </row>
    <row r="185" spans="16:16">
      <c r="P185" s="10"/>
    </row>
    <row r="186" spans="16:16">
      <c r="P186" s="10"/>
    </row>
    <row r="187" spans="16:16">
      <c r="P187" s="10"/>
    </row>
    <row r="188" spans="16:16">
      <c r="P188" s="10"/>
    </row>
    <row r="189" spans="16:16">
      <c r="P189" s="10"/>
    </row>
    <row r="190" spans="16:16">
      <c r="P190" s="10"/>
    </row>
    <row r="191" spans="16:16">
      <c r="P191" s="10"/>
    </row>
    <row r="192" spans="16:16">
      <c r="P192" s="10"/>
    </row>
    <row r="193" spans="16:16">
      <c r="P193" s="10"/>
    </row>
    <row r="194" spans="16:16">
      <c r="P194" s="10"/>
    </row>
    <row r="195" spans="16:16">
      <c r="P195" s="10"/>
    </row>
    <row r="196" spans="16:16">
      <c r="P196" s="10"/>
    </row>
    <row r="197" spans="16:16">
      <c r="P197" s="10"/>
    </row>
    <row r="198" spans="16:16">
      <c r="P198" s="10"/>
    </row>
    <row r="199" spans="16:16">
      <c r="P199" s="10"/>
    </row>
    <row r="200" spans="16:16">
      <c r="P200" s="10"/>
    </row>
    <row r="201" spans="16:16">
      <c r="P201" s="10"/>
    </row>
    <row r="202" spans="16:16">
      <c r="P202" s="10"/>
    </row>
    <row r="203" spans="16:16">
      <c r="P203" s="10"/>
    </row>
    <row r="204" spans="16:16">
      <c r="P204" s="10"/>
    </row>
    <row r="205" spans="16:16">
      <c r="P205" s="10"/>
    </row>
    <row r="206" spans="16:16">
      <c r="P206" s="10"/>
    </row>
    <row r="207" spans="16:16">
      <c r="P207" s="10"/>
    </row>
    <row r="208" spans="16:16">
      <c r="P208" s="10"/>
    </row>
    <row r="209" spans="16:16">
      <c r="P209" s="10"/>
    </row>
    <row r="210" spans="16:16">
      <c r="P210" s="10"/>
    </row>
    <row r="211" spans="16:16">
      <c r="P211" s="10"/>
    </row>
    <row r="212" spans="16:16">
      <c r="P212" s="10"/>
    </row>
    <row r="213" spans="16:16">
      <c r="P213" s="10"/>
    </row>
    <row r="214" spans="16:16">
      <c r="P214" s="10"/>
    </row>
    <row r="215" spans="16:16">
      <c r="P215" s="10"/>
    </row>
    <row r="216" spans="16:16">
      <c r="P216" s="10"/>
    </row>
    <row r="217" spans="16:16">
      <c r="P217" s="10"/>
    </row>
    <row r="218" spans="16:16">
      <c r="P218" s="10"/>
    </row>
    <row r="219" spans="16:16">
      <c r="P219" s="10"/>
    </row>
    <row r="220" spans="16:16">
      <c r="P220" s="10"/>
    </row>
    <row r="221" spans="16:16">
      <c r="P221" s="10"/>
    </row>
    <row r="222" spans="16:16">
      <c r="P222" s="10"/>
    </row>
    <row r="223" spans="16:16">
      <c r="P223" s="10"/>
    </row>
    <row r="224" spans="16:16">
      <c r="P224" s="10"/>
    </row>
    <row r="225" spans="16:16">
      <c r="P225" s="10"/>
    </row>
    <row r="226" spans="16:16">
      <c r="P226" s="10"/>
    </row>
    <row r="227" spans="16:16">
      <c r="P227" s="10"/>
    </row>
    <row r="228" spans="16:16">
      <c r="P228" s="10"/>
    </row>
    <row r="229" spans="16:16">
      <c r="P229" s="10"/>
    </row>
    <row r="230" spans="16:16">
      <c r="P230" s="10"/>
    </row>
    <row r="231" spans="16:16">
      <c r="P231" s="10"/>
    </row>
    <row r="232" spans="16:16">
      <c r="P232" s="10"/>
    </row>
    <row r="233" spans="16:16">
      <c r="P233" s="10"/>
    </row>
    <row r="234" spans="16:16">
      <c r="P234" s="10"/>
    </row>
    <row r="235" spans="16:16">
      <c r="P235" s="10"/>
    </row>
    <row r="236" spans="16:16">
      <c r="P236" s="10"/>
    </row>
    <row r="237" spans="16:16">
      <c r="P237" s="10"/>
    </row>
    <row r="238" spans="16:16">
      <c r="P238" s="10"/>
    </row>
    <row r="239" spans="16:16">
      <c r="P239" s="10"/>
    </row>
    <row r="240" spans="16:16">
      <c r="P240" s="10"/>
    </row>
    <row r="241" spans="16:16">
      <c r="P241" s="10"/>
    </row>
    <row r="242" spans="16:16">
      <c r="P242" s="10"/>
    </row>
    <row r="243" spans="16:16">
      <c r="P243" s="10"/>
    </row>
    <row r="244" spans="16:16">
      <c r="P244" s="10"/>
    </row>
    <row r="245" spans="16:16">
      <c r="P245" s="10"/>
    </row>
    <row r="246" spans="16:16">
      <c r="P246" s="10"/>
    </row>
    <row r="247" spans="16:16">
      <c r="P247" s="10"/>
    </row>
    <row r="248" spans="16:16">
      <c r="P248" s="10"/>
    </row>
    <row r="249" spans="16:16">
      <c r="P249" s="10"/>
    </row>
    <row r="250" spans="16:16">
      <c r="P250" s="10"/>
    </row>
    <row r="251" spans="16:16">
      <c r="P251" s="10"/>
    </row>
    <row r="252" spans="16:16">
      <c r="P252" s="10"/>
    </row>
    <row r="253" spans="16:16">
      <c r="P253" s="10"/>
    </row>
    <row r="254" spans="16:16">
      <c r="P254" s="10"/>
    </row>
    <row r="255" spans="16:16">
      <c r="P255" s="10"/>
    </row>
    <row r="256" spans="16:16">
      <c r="P256" s="10"/>
    </row>
    <row r="257" spans="16:16">
      <c r="P257" s="10"/>
    </row>
    <row r="258" spans="16:16">
      <c r="P258" s="10"/>
    </row>
    <row r="259" spans="16:16">
      <c r="P259" s="10"/>
    </row>
    <row r="260" spans="16:16">
      <c r="P260" s="10"/>
    </row>
    <row r="261" spans="16:16">
      <c r="P261" s="10"/>
    </row>
    <row r="262" spans="16:16">
      <c r="P262" s="10"/>
    </row>
    <row r="263" spans="16:16">
      <c r="P263" s="10"/>
    </row>
    <row r="264" spans="16:16">
      <c r="P264" s="10"/>
    </row>
    <row r="265" spans="16:16">
      <c r="P265" s="10"/>
    </row>
    <row r="266" spans="16:16">
      <c r="P266" s="10"/>
    </row>
    <row r="267" spans="16:16">
      <c r="P267" s="10"/>
    </row>
    <row r="268" spans="16:16">
      <c r="P268" s="10"/>
    </row>
    <row r="269" spans="16:16">
      <c r="P269" s="10"/>
    </row>
    <row r="270" spans="16:16">
      <c r="P270" s="10"/>
    </row>
    <row r="271" spans="16:16">
      <c r="P271" s="10"/>
    </row>
    <row r="272" spans="16:16">
      <c r="P272" s="10"/>
    </row>
    <row r="273" spans="16:16">
      <c r="P273" s="10"/>
    </row>
    <row r="274" spans="16:16">
      <c r="P274" s="10"/>
    </row>
    <row r="275" spans="16:16">
      <c r="P275" s="10"/>
    </row>
    <row r="276" spans="16:16">
      <c r="P276" s="10"/>
    </row>
    <row r="277" spans="16:16">
      <c r="P277" s="10"/>
    </row>
    <row r="278" spans="16:16">
      <c r="P278" s="10"/>
    </row>
    <row r="279" spans="16:16">
      <c r="P279" s="10"/>
    </row>
    <row r="280" spans="16:16">
      <c r="P280" s="10"/>
    </row>
    <row r="281" spans="16:16">
      <c r="P281" s="10"/>
    </row>
    <row r="282" spans="16:16">
      <c r="P282" s="10"/>
    </row>
    <row r="283" spans="16:16">
      <c r="P283" s="10"/>
    </row>
    <row r="284" spans="16:16">
      <c r="P284" s="10"/>
    </row>
    <row r="285" spans="16:16">
      <c r="P285" s="10"/>
    </row>
    <row r="286" spans="16:16">
      <c r="P286" s="10"/>
    </row>
    <row r="287" spans="16:16">
      <c r="P287" s="10"/>
    </row>
    <row r="288" spans="16:16">
      <c r="P288" s="10"/>
    </row>
    <row r="289" spans="16:16">
      <c r="P289" s="10"/>
    </row>
    <row r="290" spans="16:16">
      <c r="P290" s="10"/>
    </row>
    <row r="291" spans="16:16">
      <c r="P291" s="10"/>
    </row>
    <row r="292" spans="16:16">
      <c r="P292" s="10"/>
    </row>
    <row r="293" spans="16:16">
      <c r="P293" s="10"/>
    </row>
    <row r="294" spans="16:16">
      <c r="P294" s="10"/>
    </row>
    <row r="295" spans="16:16">
      <c r="P295" s="10"/>
    </row>
    <row r="296" spans="16:16">
      <c r="P296" s="10"/>
    </row>
    <row r="297" spans="16:16">
      <c r="P297" s="10"/>
    </row>
    <row r="298" spans="16:16">
      <c r="P298" s="10"/>
    </row>
    <row r="299" spans="16:16">
      <c r="P299" s="10"/>
    </row>
    <row r="300" spans="16:16">
      <c r="P300" s="10"/>
    </row>
    <row r="301" spans="16:16">
      <c r="P301" s="10"/>
    </row>
    <row r="302" spans="16:16">
      <c r="P302" s="10"/>
    </row>
    <row r="303" spans="16:16">
      <c r="P303" s="10"/>
    </row>
    <row r="304" spans="16:16">
      <c r="P304" s="10"/>
    </row>
    <row r="305" spans="16:16">
      <c r="P305" s="10"/>
    </row>
    <row r="306" spans="16:16">
      <c r="P306" s="10"/>
    </row>
    <row r="307" spans="16:16">
      <c r="P307" s="10"/>
    </row>
    <row r="308" spans="16:16">
      <c r="P308" s="10"/>
    </row>
    <row r="309" spans="16:16">
      <c r="P309" s="10"/>
    </row>
    <row r="310" spans="16:16">
      <c r="P310" s="10"/>
    </row>
    <row r="311" spans="16:16">
      <c r="P311" s="10"/>
    </row>
    <row r="312" spans="16:16">
      <c r="P312" s="10"/>
    </row>
    <row r="313" spans="16:16">
      <c r="P313" s="10"/>
    </row>
    <row r="314" spans="16:16">
      <c r="P314" s="10"/>
    </row>
    <row r="315" spans="16:16">
      <c r="P315" s="10"/>
    </row>
    <row r="316" spans="16:16">
      <c r="P316" s="10"/>
    </row>
    <row r="317" spans="16:16">
      <c r="P317" s="10"/>
    </row>
    <row r="318" spans="16:16">
      <c r="P318" s="10"/>
    </row>
    <row r="319" spans="16:16">
      <c r="P319" s="10"/>
    </row>
    <row r="320" spans="16:16">
      <c r="P320" s="10"/>
    </row>
    <row r="321" spans="16:16">
      <c r="P321" s="10"/>
    </row>
    <row r="322" spans="16:16">
      <c r="P322" s="10"/>
    </row>
    <row r="323" spans="16:16">
      <c r="P323" s="10"/>
    </row>
    <row r="324" spans="16:16">
      <c r="P324" s="10"/>
    </row>
    <row r="325" spans="16:16">
      <c r="P325" s="10"/>
    </row>
    <row r="326" spans="16:16">
      <c r="P326" s="10"/>
    </row>
    <row r="327" spans="16:16">
      <c r="P327" s="10"/>
    </row>
    <row r="328" spans="16:16">
      <c r="P328" s="10"/>
    </row>
    <row r="329" spans="16:16">
      <c r="P329" s="10"/>
    </row>
    <row r="330" spans="16:16">
      <c r="P330" s="10"/>
    </row>
    <row r="331" spans="16:16">
      <c r="P331" s="10"/>
    </row>
    <row r="332" spans="16:16">
      <c r="P332" s="10"/>
    </row>
    <row r="333" spans="16:16">
      <c r="P333" s="10"/>
    </row>
    <row r="334" spans="16:16">
      <c r="P334" s="10"/>
    </row>
    <row r="335" spans="16:16">
      <c r="P335" s="10"/>
    </row>
    <row r="336" spans="16:16">
      <c r="P336" s="10"/>
    </row>
    <row r="337" spans="16:16">
      <c r="P337" s="10"/>
    </row>
    <row r="338" spans="16:16">
      <c r="P338" s="10"/>
    </row>
    <row r="339" spans="16:16">
      <c r="P339" s="10"/>
    </row>
    <row r="340" spans="16:16">
      <c r="P340" s="10"/>
    </row>
    <row r="341" spans="16:16">
      <c r="P341" s="10"/>
    </row>
    <row r="342" spans="16:16">
      <c r="P342" s="10"/>
    </row>
    <row r="343" spans="16:16">
      <c r="P343" s="10"/>
    </row>
    <row r="344" spans="16:16">
      <c r="P344" s="10"/>
    </row>
    <row r="345" spans="16:16">
      <c r="P345" s="10"/>
    </row>
    <row r="346" spans="16:16">
      <c r="P346" s="10"/>
    </row>
    <row r="347" spans="16:16">
      <c r="P347" s="10"/>
    </row>
    <row r="348" spans="16:16">
      <c r="P348" s="10"/>
    </row>
    <row r="349" spans="16:16">
      <c r="P349" s="10"/>
    </row>
    <row r="350" spans="16:16">
      <c r="P350" s="10"/>
    </row>
    <row r="351" spans="16:16">
      <c r="P351" s="10"/>
    </row>
    <row r="352" spans="16:16">
      <c r="P352" s="10"/>
    </row>
    <row r="353" spans="16:16">
      <c r="P353" s="10"/>
    </row>
    <row r="354" spans="16:16">
      <c r="P354" s="10"/>
    </row>
    <row r="355" spans="16:16">
      <c r="P355" s="10"/>
    </row>
    <row r="356" spans="16:16">
      <c r="P356" s="10"/>
    </row>
    <row r="357" spans="16:16">
      <c r="P357" s="10"/>
    </row>
    <row r="358" spans="16:16">
      <c r="P358" s="10"/>
    </row>
    <row r="359" spans="16:16">
      <c r="P359" s="10"/>
    </row>
    <row r="360" spans="16:16">
      <c r="P360" s="10"/>
    </row>
    <row r="361" spans="16:16">
      <c r="P361" s="10"/>
    </row>
    <row r="362" spans="16:16">
      <c r="P362" s="10"/>
    </row>
    <row r="363" spans="16:16">
      <c r="P363" s="10"/>
    </row>
    <row r="364" spans="16:16">
      <c r="P364" s="10"/>
    </row>
    <row r="365" spans="16:16">
      <c r="P365" s="10"/>
    </row>
    <row r="366" spans="16:16">
      <c r="P366" s="10"/>
    </row>
    <row r="367" spans="16:16">
      <c r="P367" s="10"/>
    </row>
    <row r="368" spans="16:16">
      <c r="P368" s="10"/>
    </row>
    <row r="369" spans="16:16">
      <c r="P369" s="10"/>
    </row>
    <row r="370" spans="16:16">
      <c r="P370" s="10"/>
    </row>
    <row r="371" spans="16:16">
      <c r="P371" s="10"/>
    </row>
    <row r="372" spans="16:16">
      <c r="P372" s="10"/>
    </row>
    <row r="373" spans="16:16">
      <c r="P373" s="10"/>
    </row>
    <row r="374" spans="16:16">
      <c r="P374" s="10"/>
    </row>
    <row r="375" spans="16:16">
      <c r="P375" s="10"/>
    </row>
    <row r="376" spans="16:16">
      <c r="P376" s="10"/>
    </row>
    <row r="377" spans="16:16">
      <c r="P377" s="10"/>
    </row>
    <row r="378" spans="16:16">
      <c r="P378" s="10"/>
    </row>
    <row r="379" spans="16:16">
      <c r="P379" s="10"/>
    </row>
    <row r="380" spans="16:16">
      <c r="P380" s="10"/>
    </row>
    <row r="381" spans="16:16">
      <c r="P381" s="10"/>
    </row>
    <row r="382" spans="16:16">
      <c r="P382" s="10"/>
    </row>
    <row r="383" spans="16:16">
      <c r="P383" s="10"/>
    </row>
    <row r="384" spans="16:16">
      <c r="P384" s="10"/>
    </row>
    <row r="385" spans="16:16">
      <c r="P385" s="10"/>
    </row>
    <row r="386" spans="16:16">
      <c r="P386" s="10"/>
    </row>
    <row r="387" spans="16:16">
      <c r="P387" s="10"/>
    </row>
    <row r="388" spans="16:16">
      <c r="P388" s="10"/>
    </row>
    <row r="389" spans="16:16">
      <c r="P389" s="10"/>
    </row>
    <row r="390" spans="16:16">
      <c r="P390" s="10"/>
    </row>
    <row r="391" spans="16:16">
      <c r="P391" s="10"/>
    </row>
    <row r="392" spans="16:16">
      <c r="P392" s="10"/>
    </row>
    <row r="393" spans="16:16">
      <c r="P393" s="10"/>
    </row>
    <row r="394" spans="16:16">
      <c r="P394" s="10"/>
    </row>
    <row r="395" spans="16:16">
      <c r="P395" s="10"/>
    </row>
    <row r="396" spans="16:16">
      <c r="P396" s="10"/>
    </row>
    <row r="397" spans="16:16">
      <c r="P397" s="10"/>
    </row>
    <row r="398" spans="16:16">
      <c r="P398" s="10"/>
    </row>
    <row r="399" spans="16:16">
      <c r="P399" s="10"/>
    </row>
    <row r="400" spans="16:16">
      <c r="P400" s="10"/>
    </row>
    <row r="401" spans="16:16">
      <c r="P401" s="10"/>
    </row>
    <row r="402" spans="16:16">
      <c r="P402" s="10"/>
    </row>
    <row r="403" spans="16:16">
      <c r="P403" s="10"/>
    </row>
    <row r="404" spans="16:16">
      <c r="P404" s="10"/>
    </row>
    <row r="405" spans="16:16">
      <c r="P405" s="10"/>
    </row>
    <row r="406" spans="16:16">
      <c r="P406" s="10"/>
    </row>
    <row r="407" spans="16:16">
      <c r="P407" s="10"/>
    </row>
    <row r="408" spans="16:16">
      <c r="P408" s="10"/>
    </row>
    <row r="409" spans="16:16">
      <c r="P409" s="10"/>
    </row>
    <row r="410" spans="16:16">
      <c r="P410" s="10"/>
    </row>
    <row r="411" spans="16:16">
      <c r="P411" s="10"/>
    </row>
    <row r="412" spans="16:16">
      <c r="P412" s="10"/>
    </row>
    <row r="413" spans="16:16">
      <c r="P413" s="10"/>
    </row>
    <row r="414" spans="16:16">
      <c r="P414" s="10"/>
    </row>
    <row r="415" spans="16:16">
      <c r="P415" s="10"/>
    </row>
    <row r="416" spans="16:16">
      <c r="P416" s="10"/>
    </row>
    <row r="417" spans="16:16">
      <c r="P417" s="10"/>
    </row>
    <row r="418" spans="16:16">
      <c r="P418" s="10"/>
    </row>
    <row r="419" spans="16:16">
      <c r="P419" s="10"/>
    </row>
    <row r="420" spans="16:16">
      <c r="P420" s="10"/>
    </row>
    <row r="421" spans="16:16">
      <c r="P421" s="10"/>
    </row>
    <row r="422" spans="16:16">
      <c r="P422" s="10"/>
    </row>
    <row r="423" spans="16:16">
      <c r="P423" s="10"/>
    </row>
    <row r="424" spans="16:16">
      <c r="P424" s="10"/>
    </row>
    <row r="425" spans="16:16">
      <c r="P425" s="10"/>
    </row>
    <row r="426" spans="16:16">
      <c r="P426" s="10"/>
    </row>
    <row r="427" spans="16:16">
      <c r="P427" s="10"/>
    </row>
    <row r="428" spans="16:16">
      <c r="P428" s="10"/>
    </row>
    <row r="429" spans="16:16">
      <c r="P429" s="10"/>
    </row>
    <row r="430" spans="16:16">
      <c r="P430" s="10"/>
    </row>
    <row r="431" spans="16:16">
      <c r="P431" s="10"/>
    </row>
    <row r="432" spans="16:16">
      <c r="P432" s="10"/>
    </row>
    <row r="433" spans="16:16">
      <c r="P433" s="10"/>
    </row>
    <row r="434" spans="16:16">
      <c r="P434" s="10"/>
    </row>
    <row r="435" spans="16:16">
      <c r="P435" s="10"/>
    </row>
    <row r="436" spans="16:16">
      <c r="P436" s="10"/>
    </row>
    <row r="437" spans="16:16">
      <c r="P437" s="10"/>
    </row>
    <row r="438" spans="16:16">
      <c r="P438" s="10"/>
    </row>
    <row r="439" spans="16:16">
      <c r="P439" s="10"/>
    </row>
    <row r="440" spans="16:16">
      <c r="P440" s="10"/>
    </row>
    <row r="441" spans="16:16">
      <c r="P441" s="10"/>
    </row>
    <row r="442" spans="16:16">
      <c r="P442" s="10"/>
    </row>
    <row r="443" spans="16:16">
      <c r="P443" s="10"/>
    </row>
    <row r="444" spans="16:16">
      <c r="P444" s="10"/>
    </row>
    <row r="445" spans="16:16">
      <c r="P445" s="10"/>
    </row>
    <row r="446" spans="16:16">
      <c r="P446" s="10"/>
    </row>
    <row r="447" spans="16:16">
      <c r="P447" s="10"/>
    </row>
    <row r="448" spans="16:16">
      <c r="P448" s="10"/>
    </row>
    <row r="449" spans="16:16">
      <c r="P449" s="10"/>
    </row>
    <row r="450" spans="16:16">
      <c r="P450" s="10"/>
    </row>
    <row r="451" spans="16:16">
      <c r="P451" s="10"/>
    </row>
    <row r="452" spans="16:16">
      <c r="P452" s="10"/>
    </row>
    <row r="453" spans="16:16">
      <c r="P453" s="10"/>
    </row>
    <row r="454" spans="16:16">
      <c r="P454" s="10"/>
    </row>
    <row r="455" spans="16:16">
      <c r="P455" s="10"/>
    </row>
    <row r="456" spans="16:16">
      <c r="P456" s="10"/>
    </row>
    <row r="457" spans="16:16">
      <c r="P457" s="10"/>
    </row>
    <row r="458" spans="16:16">
      <c r="P458" s="10"/>
    </row>
    <row r="459" spans="16:16">
      <c r="P459" s="10"/>
    </row>
    <row r="460" spans="16:16">
      <c r="P460" s="10"/>
    </row>
    <row r="461" spans="16:16">
      <c r="P461" s="10"/>
    </row>
    <row r="462" spans="16:16">
      <c r="P462" s="10"/>
    </row>
    <row r="463" spans="16:16">
      <c r="P463" s="10"/>
    </row>
    <row r="464" spans="16:16">
      <c r="P464" s="10"/>
    </row>
    <row r="465" spans="16:16">
      <c r="P465" s="10"/>
    </row>
    <row r="466" spans="16:16">
      <c r="P466" s="10"/>
    </row>
    <row r="467" spans="16:16">
      <c r="P467" s="10"/>
    </row>
    <row r="468" spans="16:16">
      <c r="P468" s="10"/>
    </row>
    <row r="469" spans="16:16">
      <c r="P469" s="10"/>
    </row>
    <row r="470" spans="16:16">
      <c r="P470" s="10"/>
    </row>
    <row r="471" spans="16:16">
      <c r="P471" s="10"/>
    </row>
    <row r="472" spans="16:16">
      <c r="P472" s="10"/>
    </row>
    <row r="473" spans="16:16">
      <c r="P473" s="10"/>
    </row>
    <row r="474" spans="16:16">
      <c r="P474" s="10"/>
    </row>
    <row r="475" spans="16:16">
      <c r="P475" s="10"/>
    </row>
    <row r="476" spans="16:16">
      <c r="P476" s="10"/>
    </row>
    <row r="477" spans="16:16">
      <c r="P477" s="10"/>
    </row>
    <row r="478" spans="16:16">
      <c r="P478" s="10"/>
    </row>
    <row r="479" spans="16:16">
      <c r="P479" s="10"/>
    </row>
    <row r="480" spans="16:16">
      <c r="P480" s="10"/>
    </row>
    <row r="481" spans="16:16">
      <c r="P481" s="10"/>
    </row>
    <row r="482" spans="16:16">
      <c r="P482" s="10"/>
    </row>
    <row r="483" spans="16:16">
      <c r="P483" s="10"/>
    </row>
    <row r="484" spans="16:16">
      <c r="P484" s="10"/>
    </row>
    <row r="485" spans="16:16">
      <c r="P485" s="10"/>
    </row>
    <row r="486" spans="16:16">
      <c r="P486" s="10"/>
    </row>
    <row r="487" spans="16:16">
      <c r="P487" s="10"/>
    </row>
    <row r="488" spans="16:16">
      <c r="P488" s="10"/>
    </row>
    <row r="489" spans="16:16">
      <c r="P489" s="10"/>
    </row>
    <row r="490" spans="16:16">
      <c r="P490" s="10"/>
    </row>
    <row r="491" spans="16:16">
      <c r="P491" s="10"/>
    </row>
    <row r="492" spans="16:16">
      <c r="P492" s="10"/>
    </row>
    <row r="493" spans="16:16">
      <c r="P493" s="10"/>
    </row>
    <row r="494" spans="16:16">
      <c r="P494" s="10"/>
    </row>
    <row r="495" spans="16:16">
      <c r="P495" s="10"/>
    </row>
    <row r="496" spans="16:16">
      <c r="P496" s="10"/>
    </row>
    <row r="497" spans="16:16">
      <c r="P497" s="10"/>
    </row>
    <row r="498" spans="16:16">
      <c r="P498" s="10"/>
    </row>
    <row r="499" spans="16:16">
      <c r="P499" s="10"/>
    </row>
    <row r="500" spans="16:16">
      <c r="P500" s="10"/>
    </row>
    <row r="501" spans="16:16">
      <c r="P501" s="10"/>
    </row>
    <row r="502" spans="16:16">
      <c r="P502" s="10"/>
    </row>
    <row r="503" spans="16:16">
      <c r="P503" s="10"/>
    </row>
    <row r="504" spans="16:16">
      <c r="P504" s="10"/>
    </row>
    <row r="505" spans="16:16">
      <c r="P505" s="10"/>
    </row>
    <row r="506" spans="16:16">
      <c r="P506" s="10"/>
    </row>
    <row r="507" spans="16:16">
      <c r="P507" s="10"/>
    </row>
    <row r="508" spans="16:16">
      <c r="P508" s="10"/>
    </row>
    <row r="509" spans="16:16">
      <c r="P509" s="10"/>
    </row>
    <row r="510" spans="16:16">
      <c r="P510" s="10"/>
    </row>
    <row r="511" spans="16:16">
      <c r="P511" s="10"/>
    </row>
    <row r="512" spans="16:16">
      <c r="P512" s="10"/>
    </row>
    <row r="513" spans="16:16">
      <c r="P513" s="10"/>
    </row>
    <row r="514" spans="16:16">
      <c r="P514" s="10"/>
    </row>
    <row r="515" spans="16:16">
      <c r="P515" s="10"/>
    </row>
    <row r="516" spans="16:16">
      <c r="P516" s="10"/>
    </row>
    <row r="517" spans="16:16">
      <c r="P517" s="10"/>
    </row>
    <row r="518" spans="16:16">
      <c r="P518" s="10"/>
    </row>
    <row r="519" spans="16:16">
      <c r="P519" s="10"/>
    </row>
    <row r="520" spans="16:16">
      <c r="P520" s="10"/>
    </row>
    <row r="521" spans="16:16">
      <c r="P521" s="10"/>
    </row>
    <row r="522" spans="16:16">
      <c r="P522" s="10"/>
    </row>
    <row r="523" spans="16:16">
      <c r="P523" s="10"/>
    </row>
    <row r="524" spans="16:16">
      <c r="P524" s="10"/>
    </row>
    <row r="525" spans="16:16">
      <c r="P525" s="10"/>
    </row>
    <row r="526" spans="16:16">
      <c r="P526" s="10"/>
    </row>
    <row r="527" spans="16:16">
      <c r="P527" s="10"/>
    </row>
    <row r="528" spans="16:16">
      <c r="P528" s="10"/>
    </row>
    <row r="529" spans="16:16">
      <c r="P529" s="10"/>
    </row>
    <row r="530" spans="16:16">
      <c r="P530" s="10"/>
    </row>
    <row r="531" spans="16:16">
      <c r="P531" s="10"/>
    </row>
    <row r="532" spans="16:16">
      <c r="P532" s="10"/>
    </row>
    <row r="533" spans="16:16">
      <c r="P533" s="10"/>
    </row>
    <row r="534" spans="16:16">
      <c r="P534" s="10"/>
    </row>
    <row r="535" spans="16:16">
      <c r="P535" s="10"/>
    </row>
    <row r="536" spans="16:16">
      <c r="P536" s="10"/>
    </row>
    <row r="537" spans="16:16">
      <c r="P537" s="10"/>
    </row>
    <row r="538" spans="16:16">
      <c r="P538" s="10"/>
    </row>
    <row r="539" spans="16:16">
      <c r="P539" s="10"/>
    </row>
    <row r="540" spans="16:16">
      <c r="P540" s="10"/>
    </row>
    <row r="541" spans="16:16">
      <c r="P541" s="10"/>
    </row>
    <row r="542" spans="16:16">
      <c r="P542" s="10"/>
    </row>
    <row r="543" spans="16:16">
      <c r="P543" s="10"/>
    </row>
    <row r="544" spans="16:16">
      <c r="P544" s="10"/>
    </row>
    <row r="545" spans="16:16">
      <c r="P545" s="10"/>
    </row>
    <row r="546" spans="16:16">
      <c r="P546" s="10"/>
    </row>
    <row r="547" spans="16:16">
      <c r="P547" s="10"/>
    </row>
    <row r="548" spans="16:16">
      <c r="P548" s="10"/>
    </row>
    <row r="549" spans="16:16">
      <c r="P549" s="10"/>
    </row>
    <row r="550" spans="16:16">
      <c r="P550" s="10"/>
    </row>
    <row r="551" spans="16:16">
      <c r="P551" s="10"/>
    </row>
    <row r="552" spans="16:16">
      <c r="P552" s="10"/>
    </row>
    <row r="553" spans="16:16">
      <c r="P553" s="10"/>
    </row>
    <row r="554" spans="16:16">
      <c r="P554" s="10"/>
    </row>
    <row r="555" spans="16:16">
      <c r="P555" s="10"/>
    </row>
    <row r="556" spans="16:16">
      <c r="P556" s="10"/>
    </row>
    <row r="557" spans="16:16">
      <c r="P557" s="10"/>
    </row>
    <row r="558" spans="16:16">
      <c r="P558" s="10"/>
    </row>
    <row r="559" spans="16:16">
      <c r="P559" s="10"/>
    </row>
    <row r="560" spans="16:16">
      <c r="P560" s="10"/>
    </row>
    <row r="561" spans="16:16">
      <c r="P561" s="10"/>
    </row>
    <row r="562" spans="16:16">
      <c r="P562" s="10"/>
    </row>
    <row r="563" spans="16:16">
      <c r="P563" s="10"/>
    </row>
    <row r="564" spans="16:16">
      <c r="P564" s="10"/>
    </row>
    <row r="565" spans="16:16">
      <c r="P565" s="10"/>
    </row>
    <row r="566" spans="16:16">
      <c r="P566" s="10"/>
    </row>
    <row r="567" spans="16:16">
      <c r="P567" s="10"/>
    </row>
    <row r="568" spans="16:16">
      <c r="P568" s="10"/>
    </row>
    <row r="569" spans="16:16">
      <c r="P569" s="10"/>
    </row>
    <row r="570" spans="16:16">
      <c r="P570" s="10"/>
    </row>
    <row r="571" spans="16:16">
      <c r="P571" s="10"/>
    </row>
    <row r="572" spans="16:16">
      <c r="P572" s="10"/>
    </row>
    <row r="573" spans="16:16">
      <c r="P573" s="10"/>
    </row>
    <row r="574" spans="16:16">
      <c r="P574" s="10"/>
    </row>
    <row r="575" spans="16:16">
      <c r="P575" s="10"/>
    </row>
    <row r="576" spans="16:16">
      <c r="P576" s="10"/>
    </row>
    <row r="577" spans="16:16">
      <c r="P577" s="10"/>
    </row>
    <row r="578" spans="16:16">
      <c r="P578" s="10"/>
    </row>
    <row r="579" spans="16:16">
      <c r="P579" s="10"/>
    </row>
    <row r="580" spans="16:16">
      <c r="P580" s="10"/>
    </row>
    <row r="581" spans="16:16">
      <c r="P581" s="10"/>
    </row>
    <row r="582" spans="16:16">
      <c r="P582" s="10"/>
    </row>
    <row r="583" spans="16:16">
      <c r="P583" s="10"/>
    </row>
    <row r="584" spans="16:16">
      <c r="P584" s="10"/>
    </row>
    <row r="585" spans="16:16">
      <c r="P585" s="10"/>
    </row>
    <row r="586" spans="16:16">
      <c r="P586" s="10"/>
    </row>
    <row r="587" spans="16:16">
      <c r="P587" s="10"/>
    </row>
    <row r="588" spans="16:16">
      <c r="P588" s="10"/>
    </row>
    <row r="589" spans="16:16">
      <c r="P589" s="10"/>
    </row>
    <row r="590" spans="16:16">
      <c r="P590" s="10"/>
    </row>
    <row r="591" spans="16:16">
      <c r="P591" s="10"/>
    </row>
    <row r="592" spans="16:16">
      <c r="P592" s="10"/>
    </row>
    <row r="593" spans="16:16">
      <c r="P593" s="10"/>
    </row>
    <row r="594" spans="16:16">
      <c r="P594" s="10"/>
    </row>
    <row r="595" spans="16:16">
      <c r="P595" s="10"/>
    </row>
    <row r="596" spans="16:16">
      <c r="P596" s="10"/>
    </row>
    <row r="597" spans="16:16">
      <c r="P597" s="10"/>
    </row>
    <row r="598" spans="16:16">
      <c r="P598" s="10"/>
    </row>
    <row r="599" spans="16:16">
      <c r="P599" s="10"/>
    </row>
    <row r="600" spans="16:16">
      <c r="P600" s="10"/>
    </row>
    <row r="601" spans="16:16">
      <c r="P601" s="10"/>
    </row>
    <row r="602" spans="16:16">
      <c r="P602" s="10"/>
    </row>
    <row r="603" spans="16:16">
      <c r="P603" s="10"/>
    </row>
    <row r="604" spans="16:16">
      <c r="P604" s="10"/>
    </row>
    <row r="605" spans="16:16">
      <c r="P605" s="10"/>
    </row>
    <row r="606" spans="16:16">
      <c r="P606" s="10"/>
    </row>
    <row r="607" spans="16:16">
      <c r="P607" s="10"/>
    </row>
    <row r="608" spans="16:16">
      <c r="P608" s="10"/>
    </row>
    <row r="609" spans="16:16">
      <c r="P609" s="10"/>
    </row>
    <row r="610" spans="16:16">
      <c r="P610" s="10"/>
    </row>
    <row r="611" spans="16:16">
      <c r="P611" s="10"/>
    </row>
    <row r="612" spans="16:16">
      <c r="P612" s="10"/>
    </row>
    <row r="613" spans="16:16">
      <c r="P613" s="10"/>
    </row>
    <row r="614" spans="16:16">
      <c r="P614" s="10"/>
    </row>
    <row r="615" spans="16:16">
      <c r="P615" s="10"/>
    </row>
    <row r="616" spans="16:16">
      <c r="P616" s="10"/>
    </row>
    <row r="617" spans="16:16">
      <c r="P617" s="10"/>
    </row>
    <row r="618" spans="16:16">
      <c r="P618" s="10"/>
    </row>
    <row r="619" spans="16:16">
      <c r="P619" s="10"/>
    </row>
    <row r="620" spans="16:16">
      <c r="P620" s="10"/>
    </row>
    <row r="621" spans="16:16">
      <c r="P621" s="10"/>
    </row>
    <row r="622" spans="16:16">
      <c r="P622" s="10"/>
    </row>
    <row r="623" spans="16:16">
      <c r="P623" s="10"/>
    </row>
    <row r="624" spans="16:16">
      <c r="P624" s="10"/>
    </row>
    <row r="625" spans="16:16">
      <c r="P625" s="10"/>
    </row>
    <row r="626" spans="16:16">
      <c r="P626" s="10"/>
    </row>
    <row r="627" spans="16:16">
      <c r="P627" s="10"/>
    </row>
    <row r="628" spans="16:16">
      <c r="P628" s="10"/>
    </row>
    <row r="629" spans="16:16">
      <c r="P629" s="10"/>
    </row>
    <row r="630" spans="16:16">
      <c r="P630" s="10"/>
    </row>
    <row r="631" spans="16:16">
      <c r="P631" s="10"/>
    </row>
    <row r="632" spans="16:16">
      <c r="P632" s="10"/>
    </row>
    <row r="633" spans="16:16">
      <c r="P633" s="10"/>
    </row>
    <row r="634" spans="16:16">
      <c r="P634" s="10"/>
    </row>
    <row r="635" spans="16:16">
      <c r="P635" s="10"/>
    </row>
    <row r="636" spans="16:16">
      <c r="P636" s="10"/>
    </row>
    <row r="637" spans="16:16">
      <c r="P637" s="10"/>
    </row>
    <row r="638" spans="16:16">
      <c r="P638" s="10"/>
    </row>
    <row r="639" spans="16:16">
      <c r="P639" s="10"/>
    </row>
    <row r="640" spans="16:16">
      <c r="P640" s="10"/>
    </row>
    <row r="641" spans="16:16">
      <c r="P641" s="10"/>
    </row>
    <row r="642" spans="16:16">
      <c r="P642" s="10"/>
    </row>
    <row r="643" spans="16:16">
      <c r="P643" s="10"/>
    </row>
    <row r="644" spans="16:16">
      <c r="P644" s="10"/>
    </row>
    <row r="645" spans="16:16">
      <c r="P645" s="10"/>
    </row>
    <row r="646" spans="16:16">
      <c r="P646" s="10"/>
    </row>
    <row r="647" spans="16:16">
      <c r="P647" s="10"/>
    </row>
    <row r="648" spans="16:16">
      <c r="P648" s="10"/>
    </row>
    <row r="649" spans="16:16">
      <c r="P649" s="10"/>
    </row>
    <row r="650" spans="16:16">
      <c r="P650" s="10"/>
    </row>
    <row r="651" spans="16:16">
      <c r="P651" s="10"/>
    </row>
    <row r="652" spans="16:16">
      <c r="P652" s="10"/>
    </row>
    <row r="653" spans="16:16">
      <c r="P653" s="10"/>
    </row>
    <row r="654" spans="16:16">
      <c r="P654" s="10"/>
    </row>
    <row r="655" spans="16:16">
      <c r="P655" s="10"/>
    </row>
    <row r="656" spans="16:16">
      <c r="P656" s="10"/>
    </row>
    <row r="657" spans="16:16">
      <c r="P657" s="10"/>
    </row>
    <row r="658" spans="16:16">
      <c r="P658" s="10"/>
    </row>
    <row r="659" spans="16:16">
      <c r="P659" s="10"/>
    </row>
    <row r="660" spans="16:16">
      <c r="P660" s="10"/>
    </row>
    <row r="661" spans="16:16">
      <c r="P661" s="10"/>
    </row>
    <row r="662" spans="16:16">
      <c r="P662" s="10"/>
    </row>
    <row r="663" spans="16:16">
      <c r="P663" s="10"/>
    </row>
    <row r="664" spans="16:16">
      <c r="P664" s="10"/>
    </row>
    <row r="665" spans="16:16">
      <c r="P665" s="10"/>
    </row>
    <row r="666" spans="16:16">
      <c r="P666" s="10"/>
    </row>
    <row r="667" spans="16:16">
      <c r="P667" s="10"/>
    </row>
    <row r="668" spans="16:16">
      <c r="P668" s="10"/>
    </row>
    <row r="669" spans="16:16">
      <c r="P669" s="10"/>
    </row>
    <row r="670" spans="16:16">
      <c r="P670" s="10"/>
    </row>
    <row r="671" spans="16:16">
      <c r="P671" s="10"/>
    </row>
    <row r="672" spans="16:16">
      <c r="P672" s="10"/>
    </row>
    <row r="673" spans="16:16">
      <c r="P673" s="10"/>
    </row>
    <row r="674" spans="16:16">
      <c r="P674" s="10"/>
    </row>
    <row r="675" spans="16:16">
      <c r="P675" s="10"/>
    </row>
    <row r="676" spans="16:16">
      <c r="P676" s="10"/>
    </row>
    <row r="677" spans="16:16">
      <c r="P677" s="10"/>
    </row>
    <row r="678" spans="16:16">
      <c r="P678" s="10"/>
    </row>
    <row r="679" spans="16:16">
      <c r="P679" s="10"/>
    </row>
    <row r="680" spans="16:16">
      <c r="P680" s="10"/>
    </row>
    <row r="681" spans="16:16">
      <c r="P681" s="10"/>
    </row>
    <row r="682" spans="16:16">
      <c r="P682" s="10"/>
    </row>
    <row r="683" spans="16:16">
      <c r="P683" s="10"/>
    </row>
    <row r="684" spans="16:16">
      <c r="P684" s="10"/>
    </row>
    <row r="685" spans="16:16">
      <c r="P685" s="10"/>
    </row>
    <row r="686" spans="16:16">
      <c r="P686" s="10"/>
    </row>
    <row r="687" spans="16:16">
      <c r="P687" s="10"/>
    </row>
    <row r="688" spans="16:16">
      <c r="P688" s="10"/>
    </row>
    <row r="689" spans="16:16">
      <c r="P689" s="10"/>
    </row>
    <row r="690" spans="16:16">
      <c r="P690" s="10"/>
    </row>
    <row r="691" spans="16:16">
      <c r="P691" s="10"/>
    </row>
    <row r="692" spans="16:16">
      <c r="P692" s="10"/>
    </row>
    <row r="693" spans="16:16">
      <c r="P693" s="10"/>
    </row>
    <row r="694" spans="16:16">
      <c r="P694" s="10"/>
    </row>
    <row r="695" spans="16:16">
      <c r="P695" s="10"/>
    </row>
    <row r="696" spans="16:16">
      <c r="P696" s="10"/>
    </row>
    <row r="697" spans="16:16">
      <c r="P697" s="10"/>
    </row>
    <row r="698" spans="16:16">
      <c r="P698" s="10"/>
    </row>
    <row r="699" spans="16:16">
      <c r="P699" s="10"/>
    </row>
    <row r="700" spans="16:16">
      <c r="P700" s="10"/>
    </row>
    <row r="701" spans="16:16">
      <c r="P701" s="10"/>
    </row>
    <row r="702" spans="16:16">
      <c r="P702" s="10"/>
    </row>
    <row r="703" spans="16:16">
      <c r="P703" s="10"/>
    </row>
    <row r="704" spans="16:16">
      <c r="P704" s="10"/>
    </row>
    <row r="705" spans="16:16">
      <c r="P705" s="10"/>
    </row>
    <row r="706" spans="16:16">
      <c r="P706" s="10"/>
    </row>
    <row r="707" spans="16:16">
      <c r="P707" s="10"/>
    </row>
    <row r="708" spans="16:16">
      <c r="P708" s="10"/>
    </row>
    <row r="709" spans="16:16">
      <c r="P709" s="10"/>
    </row>
    <row r="710" spans="16:16">
      <c r="P710" s="10"/>
    </row>
    <row r="711" spans="16:16">
      <c r="P711" s="10"/>
    </row>
    <row r="712" spans="16:16">
      <c r="P712" s="10"/>
    </row>
    <row r="713" spans="16:16">
      <c r="P713" s="10"/>
    </row>
    <row r="714" spans="16:16">
      <c r="P714" s="10"/>
    </row>
    <row r="715" spans="16:16">
      <c r="P715" s="10"/>
    </row>
    <row r="716" spans="16:16">
      <c r="P716" s="10"/>
    </row>
    <row r="717" spans="16:16">
      <c r="P717" s="10"/>
    </row>
    <row r="718" spans="16:16">
      <c r="P718" s="10"/>
    </row>
    <row r="719" spans="16:16">
      <c r="P719" s="10"/>
    </row>
    <row r="720" spans="16:16">
      <c r="P720" s="10"/>
    </row>
    <row r="721" spans="16:16">
      <c r="P721" s="10"/>
    </row>
    <row r="722" spans="16:16">
      <c r="P722" s="10"/>
    </row>
    <row r="723" spans="16:16">
      <c r="P723" s="10"/>
    </row>
    <row r="724" spans="16:16">
      <c r="P724" s="10"/>
    </row>
    <row r="725" spans="16:16">
      <c r="P725" s="10"/>
    </row>
    <row r="726" spans="16:16">
      <c r="P726" s="10"/>
    </row>
    <row r="727" spans="16:16">
      <c r="P727" s="10"/>
    </row>
    <row r="728" spans="16:16">
      <c r="P728" s="10"/>
    </row>
    <row r="729" spans="16:16">
      <c r="P729" s="10"/>
    </row>
    <row r="730" spans="16:16">
      <c r="P730" s="10"/>
    </row>
    <row r="731" spans="16:16">
      <c r="P731" s="10"/>
    </row>
    <row r="732" spans="16:16">
      <c r="P732" s="10"/>
    </row>
    <row r="733" spans="16:16">
      <c r="P733" s="10"/>
    </row>
    <row r="734" spans="16:16">
      <c r="P734" s="10"/>
    </row>
    <row r="735" spans="16:16">
      <c r="P735" s="10"/>
    </row>
    <row r="736" spans="16:16">
      <c r="P736" s="10"/>
    </row>
    <row r="737" spans="16:16">
      <c r="P737" s="10"/>
    </row>
    <row r="738" spans="16:16">
      <c r="P738" s="10"/>
    </row>
    <row r="739" spans="16:16">
      <c r="P739" s="10"/>
    </row>
    <row r="740" spans="16:16">
      <c r="P740" s="10"/>
    </row>
    <row r="741" spans="16:16">
      <c r="P741" s="10"/>
    </row>
    <row r="742" spans="16:16">
      <c r="P742" s="10"/>
    </row>
    <row r="743" spans="16:16">
      <c r="P743" s="10"/>
    </row>
    <row r="744" spans="16:16">
      <c r="P744" s="10"/>
    </row>
    <row r="745" spans="16:16">
      <c r="P745" s="10"/>
    </row>
    <row r="746" spans="16:16">
      <c r="P746" s="10"/>
    </row>
    <row r="747" spans="16:16">
      <c r="P747" s="10"/>
    </row>
    <row r="748" spans="16:16">
      <c r="P748" s="10"/>
    </row>
    <row r="749" spans="16:16">
      <c r="P749" s="10"/>
    </row>
    <row r="750" spans="16:16">
      <c r="P750" s="10"/>
    </row>
    <row r="751" spans="16:16">
      <c r="P751" s="10"/>
    </row>
    <row r="752" spans="16:16">
      <c r="P752" s="10"/>
    </row>
    <row r="753" spans="16:16">
      <c r="P753" s="10"/>
    </row>
    <row r="754" spans="16:16">
      <c r="P754" s="10"/>
    </row>
    <row r="755" spans="16:16">
      <c r="P755" s="10"/>
    </row>
    <row r="756" spans="16:16">
      <c r="P756" s="10"/>
    </row>
    <row r="757" spans="16:16">
      <c r="P757" s="10"/>
    </row>
    <row r="758" spans="16:16">
      <c r="P758" s="10"/>
    </row>
    <row r="759" spans="16:16">
      <c r="P759" s="10"/>
    </row>
    <row r="760" spans="16:16">
      <c r="P760" s="10"/>
    </row>
    <row r="761" spans="16:16">
      <c r="P761" s="10"/>
    </row>
    <row r="762" spans="16:16">
      <c r="P762" s="10"/>
    </row>
    <row r="763" spans="16:16">
      <c r="P763" s="10"/>
    </row>
    <row r="764" spans="16:16">
      <c r="P764" s="10"/>
    </row>
    <row r="765" spans="16:16">
      <c r="P765" s="10"/>
    </row>
    <row r="766" spans="16:16">
      <c r="P766" s="10"/>
    </row>
    <row r="767" spans="16:16">
      <c r="P767" s="10"/>
    </row>
    <row r="768" spans="16:16">
      <c r="P768" s="10"/>
    </row>
    <row r="769" spans="16:16">
      <c r="P769" s="10"/>
    </row>
    <row r="770" spans="16:16">
      <c r="P770" s="10"/>
    </row>
    <row r="771" spans="16:16">
      <c r="P771" s="10"/>
    </row>
    <row r="772" spans="16:16">
      <c r="P772" s="10"/>
    </row>
    <row r="773" spans="16:16">
      <c r="P773" s="10"/>
    </row>
    <row r="774" spans="16:16">
      <c r="P774" s="10"/>
    </row>
    <row r="775" spans="16:16">
      <c r="P775" s="10"/>
    </row>
    <row r="776" spans="16:16">
      <c r="P776" s="10"/>
    </row>
    <row r="777" spans="16:16">
      <c r="P777" s="10"/>
    </row>
    <row r="778" spans="16:16">
      <c r="P778" s="10"/>
    </row>
    <row r="779" spans="16:16">
      <c r="P779" s="10"/>
    </row>
    <row r="780" spans="16:16">
      <c r="P780" s="10"/>
    </row>
    <row r="781" spans="16:16">
      <c r="P781" s="10"/>
    </row>
    <row r="782" spans="16:16">
      <c r="P782" s="10"/>
    </row>
    <row r="783" spans="16:16">
      <c r="P783" s="10"/>
    </row>
    <row r="784" spans="16:16">
      <c r="P784" s="10"/>
    </row>
    <row r="785" spans="16:16">
      <c r="P785" s="10"/>
    </row>
    <row r="786" spans="16:16">
      <c r="P786" s="10"/>
    </row>
    <row r="787" spans="16:16">
      <c r="P787" s="10"/>
    </row>
    <row r="788" spans="16:16">
      <c r="P788" s="10"/>
    </row>
    <row r="789" spans="16:16">
      <c r="P789" s="10"/>
    </row>
    <row r="790" spans="16:16">
      <c r="P790" s="10"/>
    </row>
    <row r="791" spans="16:16">
      <c r="P791" s="10"/>
    </row>
    <row r="792" spans="16:16">
      <c r="P792" s="10"/>
    </row>
    <row r="793" spans="16:16">
      <c r="P793" s="10"/>
    </row>
    <row r="794" spans="16:16">
      <c r="P794" s="10"/>
    </row>
    <row r="795" spans="16:16">
      <c r="P795" s="10"/>
    </row>
    <row r="796" spans="16:16">
      <c r="P796" s="10"/>
    </row>
    <row r="797" spans="16:16">
      <c r="P797" s="10"/>
    </row>
    <row r="798" spans="16:16">
      <c r="P798" s="10"/>
    </row>
    <row r="799" spans="16:16">
      <c r="P799" s="10"/>
    </row>
    <row r="800" spans="16:16">
      <c r="P800" s="10"/>
    </row>
    <row r="801" spans="16:16">
      <c r="P801" s="10"/>
    </row>
    <row r="802" spans="16:16">
      <c r="P802" s="10"/>
    </row>
    <row r="803" spans="16:16">
      <c r="P803" s="10"/>
    </row>
    <row r="804" spans="16:16">
      <c r="P804" s="10"/>
    </row>
    <row r="805" spans="16:16">
      <c r="P805" s="10"/>
    </row>
    <row r="806" spans="16:16">
      <c r="P806" s="10"/>
    </row>
    <row r="807" spans="16:16">
      <c r="P807" s="10"/>
    </row>
    <row r="808" spans="16:16">
      <c r="P808" s="10"/>
    </row>
    <row r="809" spans="16:16">
      <c r="P809" s="10"/>
    </row>
    <row r="810" spans="16:16">
      <c r="P810" s="10"/>
    </row>
    <row r="811" spans="16:16">
      <c r="P811" s="10"/>
    </row>
    <row r="812" spans="16:16">
      <c r="P812" s="10"/>
    </row>
    <row r="813" spans="16:16">
      <c r="P813" s="10"/>
    </row>
    <row r="814" spans="16:16">
      <c r="P814" s="10"/>
    </row>
    <row r="815" spans="16:16">
      <c r="P815" s="10"/>
    </row>
    <row r="816" spans="16:16">
      <c r="P816" s="10"/>
    </row>
    <row r="817" spans="16:16">
      <c r="P817" s="10"/>
    </row>
    <row r="818" spans="16:16">
      <c r="P818" s="10"/>
    </row>
    <row r="819" spans="16:16">
      <c r="P819" s="10"/>
    </row>
    <row r="820" spans="16:16">
      <c r="P820" s="10"/>
    </row>
    <row r="821" spans="16:16">
      <c r="P821" s="10"/>
    </row>
    <row r="822" spans="16:16">
      <c r="P822" s="10"/>
    </row>
    <row r="823" spans="16:16">
      <c r="P823" s="10"/>
    </row>
    <row r="824" spans="16:16">
      <c r="P824" s="10"/>
    </row>
    <row r="825" spans="16:16">
      <c r="P825" s="10"/>
    </row>
    <row r="826" spans="16:16">
      <c r="P826" s="10"/>
    </row>
    <row r="827" spans="16:16">
      <c r="P827" s="10"/>
    </row>
    <row r="828" spans="16:16">
      <c r="P828" s="10"/>
    </row>
    <row r="829" spans="16:16">
      <c r="P829" s="10"/>
    </row>
    <row r="830" spans="16:16">
      <c r="P830" s="10"/>
    </row>
    <row r="831" spans="16:16">
      <c r="P831" s="10"/>
    </row>
    <row r="832" spans="16:16">
      <c r="P832" s="10"/>
    </row>
    <row r="833" spans="16:16">
      <c r="P833" s="10"/>
    </row>
    <row r="834" spans="16:16">
      <c r="P834" s="10"/>
    </row>
    <row r="835" spans="16:16">
      <c r="P835" s="10"/>
    </row>
    <row r="836" spans="16:16">
      <c r="P836" s="10"/>
    </row>
    <row r="837" spans="16:16">
      <c r="P837" s="10"/>
    </row>
    <row r="838" spans="16:16">
      <c r="P838" s="10"/>
    </row>
    <row r="839" spans="16:16">
      <c r="P839" s="10"/>
    </row>
    <row r="840" spans="16:16">
      <c r="P840" s="10"/>
    </row>
    <row r="841" spans="16:16">
      <c r="P841" s="10"/>
    </row>
    <row r="842" spans="16:16">
      <c r="P842" s="10"/>
    </row>
    <row r="843" spans="16:16">
      <c r="P843" s="10"/>
    </row>
    <row r="844" spans="16:16">
      <c r="P844" s="10"/>
    </row>
    <row r="845" spans="16:16">
      <c r="P845" s="10"/>
    </row>
    <row r="846" spans="16:16">
      <c r="P846" s="10"/>
    </row>
    <row r="847" spans="16:16">
      <c r="P847" s="10"/>
    </row>
    <row r="848" spans="16:16">
      <c r="P848" s="10"/>
    </row>
    <row r="849" spans="16:16">
      <c r="P849" s="10"/>
    </row>
    <row r="850" spans="16:16">
      <c r="P850" s="10"/>
    </row>
    <row r="851" spans="16:16">
      <c r="P851" s="10"/>
    </row>
    <row r="852" spans="16:16">
      <c r="P852" s="10"/>
    </row>
    <row r="853" spans="16:16">
      <c r="P853" s="10"/>
    </row>
    <row r="854" spans="16:16">
      <c r="P854" s="10"/>
    </row>
    <row r="855" spans="16:16">
      <c r="P855" s="10"/>
    </row>
    <row r="856" spans="16:16">
      <c r="P856" s="10"/>
    </row>
    <row r="857" spans="16:16">
      <c r="P857" s="10"/>
    </row>
    <row r="858" spans="16:16">
      <c r="P858" s="10"/>
    </row>
    <row r="859" spans="16:16">
      <c r="P859" s="10"/>
    </row>
    <row r="860" spans="16:16">
      <c r="P860" s="10"/>
    </row>
    <row r="861" spans="16:16">
      <c r="P861" s="10"/>
    </row>
    <row r="862" spans="16:16">
      <c r="P862" s="10"/>
    </row>
    <row r="863" spans="16:16">
      <c r="P863" s="10"/>
    </row>
    <row r="864" spans="16:16">
      <c r="P864" s="10"/>
    </row>
    <row r="865" spans="16:16">
      <c r="P865" s="10"/>
    </row>
    <row r="866" spans="16:16">
      <c r="P866" s="10"/>
    </row>
    <row r="867" spans="16:16">
      <c r="P867" s="10"/>
    </row>
    <row r="868" spans="16:16">
      <c r="P868" s="10"/>
    </row>
    <row r="869" spans="16:16">
      <c r="P869" s="10"/>
    </row>
    <row r="870" spans="16:16">
      <c r="P870" s="10"/>
    </row>
    <row r="871" spans="16:16">
      <c r="P871" s="10"/>
    </row>
    <row r="872" spans="16:16">
      <c r="P872" s="10"/>
    </row>
    <row r="873" spans="16:16">
      <c r="P873" s="10"/>
    </row>
    <row r="874" spans="16:16">
      <c r="P874" s="10"/>
    </row>
    <row r="875" spans="16:16">
      <c r="P875" s="10"/>
    </row>
    <row r="876" spans="16:16">
      <c r="P876" s="10"/>
    </row>
    <row r="877" spans="16:16">
      <c r="P877" s="10"/>
    </row>
    <row r="878" spans="16:16">
      <c r="P878" s="10"/>
    </row>
    <row r="879" spans="16:16">
      <c r="P879" s="10"/>
    </row>
    <row r="880" spans="16:16">
      <c r="P880" s="10"/>
    </row>
    <row r="881" spans="16:16">
      <c r="P881" s="10"/>
    </row>
    <row r="882" spans="16:16">
      <c r="P882" s="10"/>
    </row>
    <row r="883" spans="16:16">
      <c r="P883" s="10"/>
    </row>
    <row r="884" spans="16:16">
      <c r="P884" s="10"/>
    </row>
    <row r="885" spans="16:16">
      <c r="P885" s="10"/>
    </row>
    <row r="886" spans="16:16">
      <c r="P886" s="10"/>
    </row>
    <row r="887" spans="16:16">
      <c r="P887" s="10"/>
    </row>
    <row r="888" spans="16:16">
      <c r="P888" s="10"/>
    </row>
    <row r="889" spans="16:16">
      <c r="P889" s="10"/>
    </row>
    <row r="890" spans="16:16">
      <c r="P890" s="10"/>
    </row>
    <row r="891" spans="16:16">
      <c r="P891" s="10"/>
    </row>
    <row r="892" spans="16:16">
      <c r="P892" s="10"/>
    </row>
    <row r="893" spans="16:16">
      <c r="P893" s="10"/>
    </row>
    <row r="894" spans="16:16">
      <c r="P894" s="10"/>
    </row>
    <row r="895" spans="16:16">
      <c r="P895" s="10"/>
    </row>
    <row r="896" spans="16:16">
      <c r="P896" s="10"/>
    </row>
    <row r="897" spans="16:16">
      <c r="P897" s="10"/>
    </row>
    <row r="898" spans="16:16">
      <c r="P898" s="10"/>
    </row>
    <row r="899" spans="16:16">
      <c r="P899" s="10"/>
    </row>
    <row r="900" spans="16:16">
      <c r="P900" s="10"/>
    </row>
    <row r="901" spans="16:16">
      <c r="P901" s="10"/>
    </row>
    <row r="902" spans="16:16">
      <c r="P902" s="10"/>
    </row>
    <row r="903" spans="16:16">
      <c r="P903" s="10"/>
    </row>
    <row r="904" spans="16:16">
      <c r="P904" s="10"/>
    </row>
    <row r="905" spans="16:16">
      <c r="P905" s="10"/>
    </row>
    <row r="906" spans="16:16">
      <c r="P906" s="10"/>
    </row>
    <row r="907" spans="16:16">
      <c r="P907" s="10"/>
    </row>
    <row r="908" spans="16:16">
      <c r="P908" s="10"/>
    </row>
    <row r="909" spans="16:16">
      <c r="P909" s="10"/>
    </row>
    <row r="910" spans="16:16">
      <c r="P910" s="10"/>
    </row>
    <row r="911" spans="16:16">
      <c r="P911" s="10"/>
    </row>
    <row r="912" spans="16:16">
      <c r="P912" s="10"/>
    </row>
    <row r="913" spans="16:16">
      <c r="P913" s="10"/>
    </row>
    <row r="914" spans="16:16">
      <c r="P914" s="10"/>
    </row>
    <row r="915" spans="16:16">
      <c r="P915" s="10"/>
    </row>
    <row r="916" spans="16:16">
      <c r="P916" s="10"/>
    </row>
    <row r="917" spans="16:16">
      <c r="P917" s="10"/>
    </row>
    <row r="918" spans="16:16">
      <c r="P918" s="10"/>
    </row>
    <row r="919" spans="16:16">
      <c r="P919" s="10"/>
    </row>
    <row r="920" spans="16:16">
      <c r="P920" s="10"/>
    </row>
    <row r="921" spans="16:16">
      <c r="P921" s="10"/>
    </row>
    <row r="922" spans="16:16">
      <c r="P922" s="10"/>
    </row>
    <row r="923" spans="16:16">
      <c r="P923" s="10"/>
    </row>
    <row r="924" spans="16:16">
      <c r="P924" s="10"/>
    </row>
    <row r="925" spans="16:16">
      <c r="P925" s="10"/>
    </row>
    <row r="926" spans="16:16">
      <c r="P926" s="10"/>
    </row>
    <row r="927" spans="16:16">
      <c r="P927" s="10"/>
    </row>
    <row r="928" spans="16:16">
      <c r="P928" s="10"/>
    </row>
    <row r="929" spans="16:16">
      <c r="P929" s="10"/>
    </row>
    <row r="930" spans="16:16">
      <c r="P930" s="10"/>
    </row>
    <row r="931" spans="16:16">
      <c r="P931" s="10"/>
    </row>
    <row r="932" spans="16:16">
      <c r="P932" s="10"/>
    </row>
    <row r="933" spans="16:16">
      <c r="P933" s="10"/>
    </row>
    <row r="934" spans="16:16">
      <c r="P934" s="10"/>
    </row>
    <row r="935" spans="16:16">
      <c r="P935" s="10"/>
    </row>
    <row r="936" spans="16:16">
      <c r="P936" s="10"/>
    </row>
    <row r="937" spans="16:16">
      <c r="P937" s="10"/>
    </row>
    <row r="938" spans="16:16">
      <c r="P938" s="10"/>
    </row>
    <row r="939" spans="16:16">
      <c r="P939" s="10"/>
    </row>
    <row r="940" spans="16:16">
      <c r="P940" s="10"/>
    </row>
    <row r="941" spans="16:16">
      <c r="P941" s="10"/>
    </row>
    <row r="942" spans="16:16">
      <c r="P942" s="10"/>
    </row>
    <row r="943" spans="16:16">
      <c r="P943" s="10"/>
    </row>
    <row r="944" spans="16:16">
      <c r="P944" s="10"/>
    </row>
    <row r="945" spans="16:16">
      <c r="P945" s="10"/>
    </row>
    <row r="946" spans="16:16">
      <c r="P946" s="10"/>
    </row>
    <row r="947" spans="16:16">
      <c r="P947" s="10"/>
    </row>
    <row r="948" spans="16:16">
      <c r="P948" s="10"/>
    </row>
    <row r="949" spans="16:16">
      <c r="P949" s="10"/>
    </row>
    <row r="950" spans="16:16">
      <c r="P950" s="10"/>
    </row>
    <row r="951" spans="16:16">
      <c r="P951" s="10"/>
    </row>
    <row r="952" spans="16:16">
      <c r="P952" s="10"/>
    </row>
    <row r="953" spans="16:16">
      <c r="P953" s="10"/>
    </row>
    <row r="954" spans="16:16">
      <c r="P954" s="10"/>
    </row>
    <row r="955" spans="16:16">
      <c r="P955" s="10"/>
    </row>
    <row r="956" spans="16:16">
      <c r="P956" s="10"/>
    </row>
    <row r="957" spans="16:16">
      <c r="P957" s="10"/>
    </row>
    <row r="958" spans="16:16">
      <c r="P958" s="10"/>
    </row>
    <row r="959" spans="16:16">
      <c r="P959" s="10"/>
    </row>
    <row r="960" spans="16:16">
      <c r="P960" s="10"/>
    </row>
    <row r="961" spans="16:16">
      <c r="P961" s="10"/>
    </row>
    <row r="962" spans="16:16">
      <c r="P962" s="10"/>
    </row>
    <row r="963" spans="16:16">
      <c r="P963" s="10"/>
    </row>
    <row r="964" spans="16:16">
      <c r="P964" s="10"/>
    </row>
    <row r="965" spans="16:16">
      <c r="P965" s="10"/>
    </row>
    <row r="966" spans="16:16">
      <c r="P966" s="10"/>
    </row>
    <row r="967" spans="16:16">
      <c r="P967" s="10"/>
    </row>
    <row r="968" spans="16:16">
      <c r="P968" s="10"/>
    </row>
    <row r="969" spans="16:16">
      <c r="P969" s="10"/>
    </row>
    <row r="970" spans="16:16">
      <c r="P970" s="10"/>
    </row>
    <row r="971" spans="16:16">
      <c r="P971" s="10"/>
    </row>
    <row r="972" spans="16:16">
      <c r="P972" s="10"/>
    </row>
    <row r="973" spans="16:16">
      <c r="P973" s="10"/>
    </row>
    <row r="974" spans="16:16">
      <c r="P974" s="10"/>
    </row>
    <row r="975" spans="16:16">
      <c r="P975" s="10"/>
    </row>
    <row r="976" spans="16:16">
      <c r="P976" s="10"/>
    </row>
    <row r="977" spans="16:16">
      <c r="P977" s="10"/>
    </row>
    <row r="978" spans="16:16">
      <c r="P978" s="10"/>
    </row>
    <row r="979" spans="16:16">
      <c r="P979" s="10"/>
    </row>
    <row r="980" spans="16:16">
      <c r="P980" s="10"/>
    </row>
    <row r="981" spans="16:16">
      <c r="P981" s="10"/>
    </row>
    <row r="982" spans="16:16">
      <c r="P982" s="10"/>
    </row>
    <row r="983" spans="16:16">
      <c r="P983" s="10"/>
    </row>
    <row r="984" spans="16:16">
      <c r="P984" s="10"/>
    </row>
    <row r="985" spans="16:16">
      <c r="P985" s="10"/>
    </row>
    <row r="986" spans="16:16">
      <c r="P986" s="10"/>
    </row>
    <row r="987" spans="16:16">
      <c r="P987" s="10"/>
    </row>
    <row r="988" spans="16:16">
      <c r="P988" s="10"/>
    </row>
    <row r="989" spans="16:16">
      <c r="P989" s="10"/>
    </row>
    <row r="990" spans="16:16">
      <c r="P990" s="10"/>
    </row>
    <row r="991" spans="16:16">
      <c r="P991" s="10"/>
    </row>
    <row r="992" spans="16:16">
      <c r="P992" s="10"/>
    </row>
    <row r="993" spans="16:16">
      <c r="P993" s="10"/>
    </row>
    <row r="994" spans="16:16">
      <c r="P994" s="10"/>
    </row>
    <row r="995" spans="16:16">
      <c r="P995" s="10"/>
    </row>
    <row r="996" spans="16:16">
      <c r="P996" s="10"/>
    </row>
    <row r="997" spans="16:16">
      <c r="P997" s="10"/>
    </row>
    <row r="998" spans="16:16">
      <c r="P998" s="10"/>
    </row>
    <row r="999" spans="16:16">
      <c r="P999" s="10"/>
    </row>
    <row r="1000" spans="16:16">
      <c r="P1000" s="10"/>
    </row>
    <row r="1001" spans="16:16">
      <c r="P1001" s="10"/>
    </row>
    <row r="1002" spans="16:16">
      <c r="P1002" s="10"/>
    </row>
    <row r="1003" spans="16:16">
      <c r="P1003" s="10"/>
    </row>
    <row r="1004" spans="16:16">
      <c r="P1004" s="10"/>
    </row>
    <row r="1005" spans="16:16">
      <c r="P1005" s="10"/>
    </row>
    <row r="1006" spans="16:16">
      <c r="P1006" s="10"/>
    </row>
    <row r="1007" spans="16:16">
      <c r="P1007" s="10"/>
    </row>
    <row r="1008" spans="16:16">
      <c r="P1008" s="10"/>
    </row>
    <row r="1009" spans="16:16">
      <c r="P1009" s="10"/>
    </row>
    <row r="1010" spans="16:16">
      <c r="P1010" s="10"/>
    </row>
    <row r="1011" spans="16:16">
      <c r="P1011" s="10"/>
    </row>
    <row r="1012" spans="16:16">
      <c r="P1012" s="10"/>
    </row>
    <row r="1013" spans="16:16">
      <c r="P1013" s="10"/>
    </row>
    <row r="1014" spans="16:16">
      <c r="P1014" s="10"/>
    </row>
    <row r="1015" spans="16:16">
      <c r="P1015" s="10"/>
    </row>
    <row r="1016" spans="16:16">
      <c r="P1016" s="10"/>
    </row>
    <row r="1017" spans="16:16">
      <c r="P1017" s="10"/>
    </row>
    <row r="1018" spans="16:16">
      <c r="P1018" s="10"/>
    </row>
    <row r="1019" spans="16:16">
      <c r="P1019" s="10"/>
    </row>
    <row r="1020" spans="16:16">
      <c r="P1020" s="10"/>
    </row>
    <row r="1021" spans="16:16">
      <c r="P1021" s="10"/>
    </row>
    <row r="1022" spans="16:16">
      <c r="P1022" s="10"/>
    </row>
    <row r="1023" spans="16:16">
      <c r="P1023" s="10"/>
    </row>
    <row r="1024" spans="16:16">
      <c r="P1024" s="10"/>
    </row>
    <row r="1025" spans="16:16">
      <c r="P1025" s="10"/>
    </row>
    <row r="1026" spans="16:16">
      <c r="P1026" s="10"/>
    </row>
    <row r="1027" spans="16:16">
      <c r="P1027" s="10"/>
    </row>
    <row r="1028" spans="16:16">
      <c r="P1028" s="10"/>
    </row>
    <row r="1029" spans="16:16">
      <c r="P1029" s="10"/>
    </row>
    <row r="1030" spans="16:16">
      <c r="P1030" s="10"/>
    </row>
    <row r="1031" spans="16:16">
      <c r="P1031" s="10"/>
    </row>
    <row r="1032" spans="16:16">
      <c r="P1032" s="10"/>
    </row>
    <row r="1033" spans="16:16">
      <c r="P1033" s="10"/>
    </row>
    <row r="1034" spans="16:16">
      <c r="P1034" s="10"/>
    </row>
    <row r="1035" spans="16:16">
      <c r="P1035" s="10"/>
    </row>
    <row r="1036" spans="16:16">
      <c r="P1036" s="10"/>
    </row>
    <row r="1037" spans="16:16">
      <c r="P1037" s="10"/>
    </row>
    <row r="1038" spans="16:16">
      <c r="P1038" s="10"/>
    </row>
    <row r="1039" spans="16:16">
      <c r="P1039" s="10"/>
    </row>
    <row r="1040" spans="16:16">
      <c r="P1040" s="10"/>
    </row>
    <row r="1041" spans="16:16">
      <c r="P1041" s="10"/>
    </row>
    <row r="1042" spans="16:16">
      <c r="P1042" s="10"/>
    </row>
    <row r="1043" spans="16:16">
      <c r="P1043" s="10"/>
    </row>
    <row r="1044" spans="16:16">
      <c r="P1044" s="10"/>
    </row>
    <row r="1045" spans="16:16">
      <c r="P1045" s="10"/>
    </row>
    <row r="1046" spans="16:16">
      <c r="P1046" s="10"/>
    </row>
    <row r="1047" spans="16:16">
      <c r="P1047" s="10"/>
    </row>
    <row r="1048" spans="16:16">
      <c r="P1048" s="10"/>
    </row>
    <row r="1049" spans="16:16">
      <c r="P1049" s="10"/>
    </row>
    <row r="1050" spans="16:16">
      <c r="P1050" s="10"/>
    </row>
    <row r="1051" spans="16:16">
      <c r="P1051" s="10"/>
    </row>
    <row r="1052" spans="16:16">
      <c r="P1052" s="10"/>
    </row>
    <row r="1053" spans="16:16">
      <c r="P1053" s="10"/>
    </row>
    <row r="1054" spans="16:16">
      <c r="P1054" s="10"/>
    </row>
    <row r="1055" spans="16:16">
      <c r="P1055" s="10"/>
    </row>
    <row r="1056" spans="16:16">
      <c r="P1056" s="10"/>
    </row>
    <row r="1057" spans="16:16">
      <c r="P1057" s="10"/>
    </row>
    <row r="1058" spans="16:16">
      <c r="P1058" s="10"/>
    </row>
    <row r="1059" spans="16:16">
      <c r="P1059" s="10"/>
    </row>
    <row r="1060" spans="16:16">
      <c r="P1060" s="10"/>
    </row>
    <row r="1061" spans="16:16">
      <c r="P1061" s="10"/>
    </row>
    <row r="1062" spans="16:16">
      <c r="P1062" s="10"/>
    </row>
    <row r="1063" spans="16:16">
      <c r="P1063" s="10"/>
    </row>
    <row r="1064" spans="16:16">
      <c r="P1064" s="10"/>
    </row>
    <row r="1065" spans="16:16">
      <c r="P1065" s="10"/>
    </row>
    <row r="1066" spans="16:16">
      <c r="P1066" s="10"/>
    </row>
    <row r="1067" spans="16:16">
      <c r="P1067" s="10"/>
    </row>
    <row r="1068" spans="16:16">
      <c r="P1068" s="10"/>
    </row>
    <row r="1069" spans="16:16">
      <c r="P1069" s="10"/>
    </row>
    <row r="1070" spans="16:16">
      <c r="P1070" s="10"/>
    </row>
    <row r="1071" spans="16:16">
      <c r="P1071" s="10"/>
    </row>
    <row r="1072" spans="16:16">
      <c r="P1072" s="10"/>
    </row>
    <row r="1073" spans="16:16">
      <c r="P1073" s="10"/>
    </row>
    <row r="1074" spans="16:16">
      <c r="P1074" s="10"/>
    </row>
    <row r="1075" spans="16:16">
      <c r="P1075" s="10"/>
    </row>
    <row r="1076" spans="16:16">
      <c r="P1076" s="10"/>
    </row>
    <row r="1077" spans="16:16">
      <c r="P1077" s="10"/>
    </row>
    <row r="1078" spans="16:16">
      <c r="P1078" s="10"/>
    </row>
    <row r="1079" spans="16:16">
      <c r="P1079" s="10"/>
    </row>
    <row r="1080" spans="16:16">
      <c r="P1080" s="10"/>
    </row>
    <row r="1081" spans="16:16">
      <c r="P1081" s="10"/>
    </row>
    <row r="1082" spans="16:16">
      <c r="P1082" s="10"/>
    </row>
    <row r="1083" spans="16:16">
      <c r="P1083" s="10"/>
    </row>
    <row r="1084" spans="16:16">
      <c r="P1084" s="10"/>
    </row>
    <row r="1085" spans="16:16">
      <c r="P1085" s="10"/>
    </row>
    <row r="1086" spans="16:16">
      <c r="P1086" s="10"/>
    </row>
    <row r="1087" spans="16:16">
      <c r="P1087" s="10"/>
    </row>
    <row r="1088" spans="16:16">
      <c r="P1088" s="10"/>
    </row>
    <row r="1089" spans="16:16">
      <c r="P1089" s="10"/>
    </row>
    <row r="1090" spans="16:16">
      <c r="P1090" s="10"/>
    </row>
    <row r="1091" spans="16:16">
      <c r="P1091" s="10"/>
    </row>
    <row r="1092" spans="16:16">
      <c r="P1092" s="10"/>
    </row>
    <row r="1093" spans="16:16">
      <c r="P1093" s="10"/>
    </row>
    <row r="1094" spans="16:16">
      <c r="P1094" s="10"/>
    </row>
    <row r="1095" spans="16:16">
      <c r="P1095" s="10"/>
    </row>
    <row r="1096" spans="16:16">
      <c r="P1096" s="10"/>
    </row>
    <row r="1097" spans="16:16">
      <c r="P1097" s="10"/>
    </row>
    <row r="1098" spans="16:16">
      <c r="P1098" s="10"/>
    </row>
    <row r="1099" spans="16:16">
      <c r="P1099" s="10"/>
    </row>
    <row r="1100" spans="16:16">
      <c r="P1100" s="10"/>
    </row>
    <row r="1101" spans="16:16">
      <c r="P1101" s="10"/>
    </row>
    <row r="1102" spans="16:16">
      <c r="P1102" s="10"/>
    </row>
    <row r="1103" spans="16:16">
      <c r="P1103" s="10"/>
    </row>
    <row r="1104" spans="16:16">
      <c r="P1104" s="10"/>
    </row>
    <row r="1105" spans="16:16">
      <c r="P1105" s="10"/>
    </row>
    <row r="1106" spans="16:16">
      <c r="P1106" s="10"/>
    </row>
    <row r="1107" spans="16:16">
      <c r="P1107" s="10"/>
    </row>
    <row r="1108" spans="16:16">
      <c r="P1108" s="10"/>
    </row>
    <row r="1109" spans="16:16">
      <c r="P1109" s="10"/>
    </row>
    <row r="1110" spans="16:16">
      <c r="P1110" s="10"/>
    </row>
    <row r="1111" spans="16:16">
      <c r="P1111" s="10"/>
    </row>
    <row r="1112" spans="16:16">
      <c r="P1112" s="10"/>
    </row>
    <row r="1113" spans="16:16">
      <c r="P1113" s="10"/>
    </row>
    <row r="1114" spans="16:16">
      <c r="P1114" s="10"/>
    </row>
    <row r="1115" spans="16:16">
      <c r="P1115" s="10"/>
    </row>
    <row r="1116" spans="16:16">
      <c r="P1116" s="10"/>
    </row>
    <row r="1117" spans="16:16">
      <c r="P1117" s="10"/>
    </row>
    <row r="1118" spans="16:16">
      <c r="P1118" s="10"/>
    </row>
    <row r="1119" spans="16:16">
      <c r="P1119" s="10"/>
    </row>
    <row r="1120" spans="16:16">
      <c r="P1120" s="10"/>
    </row>
    <row r="1121" spans="16:16">
      <c r="P1121" s="10"/>
    </row>
    <row r="1122" spans="16:16">
      <c r="P1122" s="10"/>
    </row>
    <row r="1123" spans="16:16">
      <c r="P1123" s="10"/>
    </row>
    <row r="1124" spans="16:16">
      <c r="P1124" s="10"/>
    </row>
    <row r="1125" spans="16:16">
      <c r="P1125" s="10"/>
    </row>
    <row r="1126" spans="16:16">
      <c r="P1126" s="10"/>
    </row>
    <row r="1127" spans="16:16">
      <c r="P1127" s="10"/>
    </row>
    <row r="1128" spans="16:16">
      <c r="P1128" s="10"/>
    </row>
    <row r="1129" spans="16:16">
      <c r="P1129" s="10"/>
    </row>
    <row r="1130" spans="16:16">
      <c r="P1130" s="10"/>
    </row>
    <row r="1131" spans="16:16">
      <c r="P1131" s="10"/>
    </row>
    <row r="1132" spans="16:16">
      <c r="P1132" s="10"/>
    </row>
    <row r="1133" spans="16:16">
      <c r="P1133" s="10"/>
    </row>
    <row r="1134" spans="16:16">
      <c r="P1134" s="10"/>
    </row>
    <row r="1135" spans="16:16">
      <c r="P1135" s="10"/>
    </row>
    <row r="1136" spans="16:16">
      <c r="P1136" s="10"/>
    </row>
    <row r="1137" spans="16:16">
      <c r="P1137" s="10"/>
    </row>
    <row r="1138" spans="16:16">
      <c r="P1138" s="10"/>
    </row>
    <row r="1139" spans="16:16">
      <c r="P1139" s="10"/>
    </row>
    <row r="1140" spans="16:16">
      <c r="P1140" s="10"/>
    </row>
    <row r="1141" spans="16:16">
      <c r="P1141" s="10"/>
    </row>
    <row r="1142" spans="16:16">
      <c r="P1142" s="10"/>
    </row>
    <row r="1143" spans="16:16">
      <c r="P1143" s="10"/>
    </row>
    <row r="1144" spans="16:16">
      <c r="P1144" s="10"/>
    </row>
    <row r="1145" spans="16:16">
      <c r="P1145" s="10"/>
    </row>
    <row r="1146" spans="16:16">
      <c r="P1146" s="10"/>
    </row>
    <row r="1147" spans="16:16">
      <c r="P1147" s="10"/>
    </row>
    <row r="1148" spans="16:16">
      <c r="P1148" s="10"/>
    </row>
    <row r="1149" spans="16:16">
      <c r="P1149" s="10"/>
    </row>
    <row r="1150" spans="16:16">
      <c r="P1150" s="10"/>
    </row>
    <row r="1151" spans="16:16">
      <c r="P1151" s="10"/>
    </row>
    <row r="1152" spans="16:16">
      <c r="P1152" s="10"/>
    </row>
    <row r="1153" spans="16:16">
      <c r="P1153" s="10"/>
    </row>
    <row r="1154" spans="16:16">
      <c r="P1154" s="10"/>
    </row>
    <row r="1155" spans="16:16">
      <c r="P1155" s="10"/>
    </row>
    <row r="1156" spans="16:16">
      <c r="P1156" s="10"/>
    </row>
    <row r="1157" spans="16:16">
      <c r="P1157" s="10"/>
    </row>
    <row r="1158" spans="16:16">
      <c r="P1158" s="10"/>
    </row>
    <row r="1159" spans="16:16">
      <c r="P1159" s="10"/>
    </row>
    <row r="1160" spans="16:16">
      <c r="P1160" s="10"/>
    </row>
    <row r="1161" spans="16:16">
      <c r="P1161" s="10"/>
    </row>
    <row r="1162" spans="16:16">
      <c r="P1162" s="10"/>
    </row>
    <row r="1163" spans="16:16">
      <c r="P1163" s="10"/>
    </row>
    <row r="1164" spans="16:16">
      <c r="P1164" s="10"/>
    </row>
    <row r="1165" spans="16:16">
      <c r="P1165" s="10"/>
    </row>
    <row r="1166" spans="16:16">
      <c r="P1166" s="10"/>
    </row>
    <row r="1167" spans="16:16">
      <c r="P1167" s="10"/>
    </row>
    <row r="1168" spans="16:16">
      <c r="P1168" s="10"/>
    </row>
    <row r="1169" spans="16:16">
      <c r="P1169" s="10"/>
    </row>
    <row r="1170" spans="16:16">
      <c r="P1170" s="10"/>
    </row>
    <row r="1171" spans="16:16">
      <c r="P1171" s="10"/>
    </row>
    <row r="1172" spans="16:16">
      <c r="P1172" s="10"/>
    </row>
    <row r="1173" spans="16:16">
      <c r="P1173" s="10"/>
    </row>
    <row r="1174" spans="16:16">
      <c r="P1174" s="10"/>
    </row>
    <row r="1175" spans="16:16">
      <c r="P1175" s="10"/>
    </row>
    <row r="1176" spans="16:16">
      <c r="P1176" s="10"/>
    </row>
    <row r="1177" spans="16:16">
      <c r="P1177" s="10"/>
    </row>
    <row r="1178" spans="16:16">
      <c r="P1178" s="10"/>
    </row>
    <row r="1179" spans="16:16">
      <c r="P1179" s="10"/>
    </row>
    <row r="1180" spans="16:16">
      <c r="P1180" s="10"/>
    </row>
    <row r="1181" spans="16:16">
      <c r="P1181" s="10"/>
    </row>
    <row r="1182" spans="16:16">
      <c r="P1182" s="10"/>
    </row>
    <row r="1183" spans="16:16">
      <c r="P1183" s="10"/>
    </row>
    <row r="1184" spans="16:16">
      <c r="P1184" s="10"/>
    </row>
    <row r="1185" spans="16:16">
      <c r="P1185" s="10"/>
    </row>
    <row r="1186" spans="16:16">
      <c r="P1186" s="10"/>
    </row>
    <row r="1187" spans="16:16">
      <c r="P1187" s="10"/>
    </row>
    <row r="1188" spans="16:16">
      <c r="P1188" s="10"/>
    </row>
    <row r="1189" spans="16:16">
      <c r="P1189" s="10"/>
    </row>
    <row r="1190" spans="16:16">
      <c r="P1190" s="10"/>
    </row>
    <row r="1191" spans="16:16">
      <c r="P1191" s="10"/>
    </row>
    <row r="1192" spans="16:16">
      <c r="P1192" s="10"/>
    </row>
    <row r="1193" spans="16:16">
      <c r="P1193" s="10"/>
    </row>
    <row r="1194" spans="16:16">
      <c r="P1194" s="10"/>
    </row>
    <row r="1195" spans="16:16">
      <c r="P1195" s="10"/>
    </row>
    <row r="1196" spans="16:16">
      <c r="P1196" s="10"/>
    </row>
    <row r="1197" spans="16:16">
      <c r="P1197" s="10"/>
    </row>
    <row r="1198" spans="16:16">
      <c r="P1198" s="10"/>
    </row>
    <row r="1199" spans="16:16">
      <c r="P1199" s="10"/>
    </row>
    <row r="1200" spans="16:16">
      <c r="P1200" s="10"/>
    </row>
    <row r="1201" spans="16:16">
      <c r="P1201" s="10"/>
    </row>
    <row r="1202" spans="16:16">
      <c r="P1202" s="10"/>
    </row>
    <row r="1203" spans="16:16">
      <c r="P1203" s="10"/>
    </row>
    <row r="1204" spans="16:16">
      <c r="P1204" s="10"/>
    </row>
    <row r="1205" spans="16:16">
      <c r="P1205" s="10"/>
    </row>
    <row r="1206" spans="16:16">
      <c r="P1206" s="10"/>
    </row>
    <row r="1207" spans="16:16">
      <c r="P1207" s="10"/>
    </row>
    <row r="1208" spans="16:16">
      <c r="P1208" s="10"/>
    </row>
    <row r="1209" spans="16:16">
      <c r="P1209" s="10"/>
    </row>
    <row r="1210" spans="16:16">
      <c r="P1210" s="10"/>
    </row>
    <row r="1211" spans="16:16">
      <c r="P1211" s="10"/>
    </row>
    <row r="1212" spans="16:16">
      <c r="P1212" s="10"/>
    </row>
    <row r="1213" spans="16:16">
      <c r="P1213" s="10"/>
    </row>
    <row r="1214" spans="16:16">
      <c r="P1214" s="10"/>
    </row>
    <row r="1215" spans="16:16">
      <c r="P1215" s="10"/>
    </row>
    <row r="1216" spans="16:16">
      <c r="P1216" s="10"/>
    </row>
    <row r="1217" spans="16:16">
      <c r="P1217" s="10"/>
    </row>
    <row r="1218" spans="16:16">
      <c r="P1218" s="10"/>
    </row>
    <row r="1219" spans="16:16">
      <c r="P1219" s="10"/>
    </row>
    <row r="1220" spans="16:16">
      <c r="P1220" s="10"/>
    </row>
    <row r="1221" spans="16:16">
      <c r="P1221" s="10"/>
    </row>
    <row r="1222" spans="16:16">
      <c r="P1222" s="10"/>
    </row>
    <row r="1223" spans="16:16">
      <c r="P1223" s="10"/>
    </row>
    <row r="1224" spans="16:16">
      <c r="P1224" s="10"/>
    </row>
    <row r="1225" spans="16:16">
      <c r="P1225" s="10"/>
    </row>
    <row r="1226" spans="16:16">
      <c r="P1226" s="10"/>
    </row>
    <row r="1227" spans="16:16">
      <c r="P1227" s="10"/>
    </row>
    <row r="1228" spans="16:16">
      <c r="P1228" s="10"/>
    </row>
    <row r="1229" spans="16:16">
      <c r="P1229" s="10"/>
    </row>
    <row r="1230" spans="16:16">
      <c r="P1230" s="10"/>
    </row>
    <row r="1231" spans="16:16">
      <c r="P1231" s="10"/>
    </row>
    <row r="1232" spans="16:16">
      <c r="P1232" s="10"/>
    </row>
    <row r="1233" spans="16:16">
      <c r="P1233" s="10"/>
    </row>
    <row r="1234" spans="16:16">
      <c r="P1234" s="10"/>
    </row>
    <row r="1235" spans="16:16">
      <c r="P1235" s="10"/>
    </row>
    <row r="1236" spans="16:16">
      <c r="P1236" s="10"/>
    </row>
    <row r="1237" spans="16:16">
      <c r="P1237" s="10"/>
    </row>
    <row r="1238" spans="16:16">
      <c r="P1238" s="10"/>
    </row>
    <row r="1239" spans="16:16">
      <c r="P1239" s="10"/>
    </row>
    <row r="1240" spans="16:16">
      <c r="P1240" s="10"/>
    </row>
    <row r="1241" spans="16:16">
      <c r="P1241" s="10"/>
    </row>
    <row r="1242" spans="16:16">
      <c r="P1242" s="10"/>
    </row>
    <row r="1243" spans="16:16">
      <c r="P1243" s="10"/>
    </row>
    <row r="1244" spans="16:16">
      <c r="P1244" s="10"/>
    </row>
    <row r="1245" spans="16:16">
      <c r="P1245" s="10"/>
    </row>
    <row r="1246" spans="16:16">
      <c r="P1246" s="10"/>
    </row>
    <row r="1247" spans="16:16">
      <c r="P1247" s="10"/>
    </row>
    <row r="1248" spans="16:16">
      <c r="P1248" s="10"/>
    </row>
    <row r="1249" spans="16:16">
      <c r="P1249" s="10"/>
    </row>
    <row r="1250" spans="16:16">
      <c r="P1250" s="10"/>
    </row>
    <row r="1251" spans="16:16">
      <c r="P1251" s="10"/>
    </row>
    <row r="1252" spans="16:16">
      <c r="P1252" s="10"/>
    </row>
    <row r="1253" spans="16:16">
      <c r="P1253" s="10"/>
    </row>
    <row r="1254" spans="16:16">
      <c r="P1254" s="10"/>
    </row>
    <row r="1255" spans="16:16">
      <c r="P1255" s="10"/>
    </row>
    <row r="1256" spans="16:16">
      <c r="P1256" s="10"/>
    </row>
    <row r="1257" spans="16:16">
      <c r="P1257" s="10"/>
    </row>
    <row r="1258" spans="16:16">
      <c r="P1258" s="10"/>
    </row>
    <row r="1259" spans="16:16">
      <c r="P1259" s="10"/>
    </row>
    <row r="1260" spans="16:16">
      <c r="P1260" s="10"/>
    </row>
    <row r="1261" spans="16:16">
      <c r="P1261" s="10"/>
    </row>
    <row r="1262" spans="16:16">
      <c r="P1262" s="10"/>
    </row>
    <row r="1263" spans="16:16">
      <c r="P1263" s="10"/>
    </row>
    <row r="1264" spans="16:16">
      <c r="P1264" s="10"/>
    </row>
    <row r="1265" spans="16:16">
      <c r="P1265" s="10"/>
    </row>
    <row r="1266" spans="16:16">
      <c r="P1266" s="10"/>
    </row>
    <row r="1267" spans="16:16">
      <c r="P1267" s="10"/>
    </row>
    <row r="1268" spans="16:16">
      <c r="P1268" s="10"/>
    </row>
    <row r="1269" spans="16:16">
      <c r="P1269" s="10"/>
    </row>
    <row r="1270" spans="16:16">
      <c r="P1270" s="10"/>
    </row>
    <row r="1271" spans="16:16">
      <c r="P1271" s="10"/>
    </row>
    <row r="1272" spans="16:16">
      <c r="P1272" s="10"/>
    </row>
    <row r="1273" spans="16:16">
      <c r="P1273" s="10"/>
    </row>
    <row r="1274" spans="16:16">
      <c r="P1274" s="10"/>
    </row>
    <row r="1275" spans="16:16">
      <c r="P1275" s="10"/>
    </row>
    <row r="1276" spans="16:16">
      <c r="P1276" s="10"/>
    </row>
    <row r="1277" spans="16:16">
      <c r="P1277" s="10"/>
    </row>
    <row r="1278" spans="16:16">
      <c r="P1278" s="10"/>
    </row>
    <row r="1279" spans="16:16">
      <c r="P1279" s="10"/>
    </row>
    <row r="1280" spans="16:16">
      <c r="P1280" s="10"/>
    </row>
    <row r="1281" spans="16:16">
      <c r="P1281" s="10"/>
    </row>
    <row r="1282" spans="16:16">
      <c r="P1282" s="10"/>
    </row>
    <row r="1283" spans="16:16">
      <c r="P1283" s="10"/>
    </row>
    <row r="1284" spans="16:16">
      <c r="P1284" s="10"/>
    </row>
    <row r="1285" spans="16:16">
      <c r="P1285" s="10"/>
    </row>
    <row r="1286" spans="16:16">
      <c r="P1286" s="10"/>
    </row>
    <row r="1287" spans="16:16">
      <c r="P1287" s="10"/>
    </row>
    <row r="1288" spans="16:16">
      <c r="P1288" s="10"/>
    </row>
    <row r="1289" spans="16:16">
      <c r="P1289" s="10"/>
    </row>
    <row r="1290" spans="16:16">
      <c r="P1290" s="10"/>
    </row>
    <row r="1291" spans="16:16">
      <c r="P1291" s="10"/>
    </row>
    <row r="1292" spans="16:16">
      <c r="P1292" s="10"/>
    </row>
    <row r="1293" spans="16:16">
      <c r="P1293" s="10"/>
    </row>
    <row r="1294" spans="16:16">
      <c r="P1294" s="10"/>
    </row>
    <row r="1295" spans="16:16">
      <c r="P1295" s="10"/>
    </row>
    <row r="1296" spans="16:16">
      <c r="P1296" s="10"/>
    </row>
    <row r="1297" spans="16:16">
      <c r="P1297" s="10"/>
    </row>
    <row r="1298" spans="16:16">
      <c r="P1298" s="10"/>
    </row>
    <row r="1299" spans="16:16">
      <c r="P1299" s="10"/>
    </row>
    <row r="1300" spans="16:16">
      <c r="P1300" s="10"/>
    </row>
    <row r="1301" spans="16:16">
      <c r="P1301" s="10"/>
    </row>
    <row r="1302" spans="16:16">
      <c r="P1302" s="10"/>
    </row>
    <row r="1303" spans="16:16">
      <c r="P1303" s="10"/>
    </row>
    <row r="1304" spans="16:16">
      <c r="P1304" s="10"/>
    </row>
    <row r="1305" spans="16:16">
      <c r="P1305" s="10"/>
    </row>
    <row r="1306" spans="16:16">
      <c r="P1306" s="10"/>
    </row>
    <row r="1307" spans="16:16">
      <c r="P1307" s="10"/>
    </row>
    <row r="1308" spans="16:16">
      <c r="P1308" s="10"/>
    </row>
    <row r="1309" spans="16:16">
      <c r="P1309" s="10"/>
    </row>
    <row r="1310" spans="16:16">
      <c r="P1310" s="10"/>
    </row>
    <row r="1311" spans="16:16">
      <c r="P1311" s="10"/>
    </row>
    <row r="1312" spans="16:16">
      <c r="P1312" s="10"/>
    </row>
    <row r="1313" spans="16:16">
      <c r="P1313" s="10"/>
    </row>
    <row r="1314" spans="16:16">
      <c r="P1314" s="10"/>
    </row>
    <row r="1315" spans="16:16">
      <c r="P1315" s="10"/>
    </row>
    <row r="1316" spans="16:16">
      <c r="P1316" s="10"/>
    </row>
    <row r="1317" spans="16:16">
      <c r="P1317" s="10"/>
    </row>
    <row r="1318" spans="16:16">
      <c r="P1318" s="10"/>
    </row>
    <row r="1319" spans="16:16">
      <c r="P1319" s="10"/>
    </row>
    <row r="1320" spans="16:16">
      <c r="P1320" s="10"/>
    </row>
    <row r="1321" spans="16:16">
      <c r="P1321" s="10"/>
    </row>
    <row r="1322" spans="16:16">
      <c r="P1322" s="10"/>
    </row>
    <row r="1323" spans="16:16">
      <c r="P1323" s="10"/>
    </row>
    <row r="1324" spans="16:16">
      <c r="P1324" s="10"/>
    </row>
    <row r="1325" spans="16:16">
      <c r="P1325" s="10"/>
    </row>
    <row r="1326" spans="16:16">
      <c r="P1326" s="10"/>
    </row>
    <row r="1327" spans="16:16">
      <c r="P1327" s="10"/>
    </row>
    <row r="1328" spans="16:16">
      <c r="P1328" s="10"/>
    </row>
    <row r="1329" spans="16:16">
      <c r="P1329" s="10"/>
    </row>
    <row r="1330" spans="16:16">
      <c r="P1330" s="10"/>
    </row>
    <row r="1331" spans="16:16">
      <c r="P1331" s="10"/>
    </row>
    <row r="1332" spans="16:16">
      <c r="P1332" s="10"/>
    </row>
    <row r="1333" spans="16:16">
      <c r="P1333" s="10"/>
    </row>
    <row r="1334" spans="16:16">
      <c r="P1334" s="10"/>
    </row>
    <row r="1335" spans="16:16">
      <c r="P1335" s="10"/>
    </row>
    <row r="1336" spans="16:16">
      <c r="P1336" s="10"/>
    </row>
    <row r="1337" spans="16:16">
      <c r="P1337" s="10"/>
    </row>
    <row r="1338" spans="16:16">
      <c r="P1338" s="10"/>
    </row>
    <row r="1339" spans="16:16">
      <c r="P1339" s="10"/>
    </row>
    <row r="1340" spans="16:16">
      <c r="P1340" s="10"/>
    </row>
    <row r="1341" spans="16:16">
      <c r="P1341" s="10"/>
    </row>
    <row r="1342" spans="16:16">
      <c r="P1342" s="10"/>
    </row>
    <row r="1343" spans="16:16">
      <c r="P1343" s="10"/>
    </row>
    <row r="1344" spans="16:16">
      <c r="P1344" s="10"/>
    </row>
    <row r="1345" spans="16:16">
      <c r="P1345" s="10"/>
    </row>
    <row r="1346" spans="16:16">
      <c r="P1346" s="10"/>
    </row>
    <row r="1347" spans="16:16">
      <c r="P1347" s="10"/>
    </row>
    <row r="1348" spans="16:16">
      <c r="P1348" s="10"/>
    </row>
    <row r="1349" spans="16:16">
      <c r="P1349" s="10"/>
    </row>
    <row r="1350" spans="16:16">
      <c r="P1350" s="10"/>
    </row>
    <row r="1351" spans="16:16">
      <c r="P1351" s="10"/>
    </row>
    <row r="1352" spans="16:16">
      <c r="P1352" s="10"/>
    </row>
    <row r="1353" spans="16:16">
      <c r="P1353" s="10"/>
    </row>
    <row r="1354" spans="16:16">
      <c r="P1354" s="10"/>
    </row>
    <row r="1355" spans="16:16">
      <c r="P1355" s="10"/>
    </row>
    <row r="1356" spans="16:16">
      <c r="P1356" s="10"/>
    </row>
    <row r="1357" spans="16:16">
      <c r="P1357" s="10"/>
    </row>
    <row r="1358" spans="16:16">
      <c r="P1358" s="10"/>
    </row>
    <row r="1359" spans="16:16">
      <c r="P1359" s="10"/>
    </row>
    <row r="1360" spans="16:16">
      <c r="P1360" s="10"/>
    </row>
    <row r="1361" spans="16:16">
      <c r="P1361" s="10"/>
    </row>
    <row r="1362" spans="16:16">
      <c r="P1362" s="10"/>
    </row>
    <row r="1363" spans="16:16">
      <c r="P1363" s="10"/>
    </row>
    <row r="1364" spans="16:16">
      <c r="P1364" s="10"/>
    </row>
    <row r="1365" spans="16:16">
      <c r="P1365" s="10"/>
    </row>
    <row r="1366" spans="16:16">
      <c r="P1366" s="10"/>
    </row>
    <row r="1367" spans="16:16">
      <c r="P1367" s="10"/>
    </row>
    <row r="1368" spans="16:16">
      <c r="P1368" s="10"/>
    </row>
    <row r="1369" spans="16:16">
      <c r="P1369" s="10"/>
    </row>
    <row r="1370" spans="16:16">
      <c r="P1370" s="10"/>
    </row>
    <row r="1371" spans="16:16">
      <c r="P1371" s="10"/>
    </row>
    <row r="1372" spans="16:16">
      <c r="P1372" s="10"/>
    </row>
    <row r="1373" spans="16:16">
      <c r="P1373" s="10"/>
    </row>
    <row r="1374" spans="16:16">
      <c r="P1374" s="10"/>
    </row>
    <row r="1375" spans="16:16">
      <c r="P1375" s="10"/>
    </row>
    <row r="1376" spans="16:16">
      <c r="P1376" s="10"/>
    </row>
    <row r="1377" spans="16:16">
      <c r="P1377" s="10"/>
    </row>
    <row r="1378" spans="16:16">
      <c r="P1378" s="10"/>
    </row>
    <row r="1379" spans="16:16">
      <c r="P1379" s="10"/>
    </row>
    <row r="1380" spans="16:16">
      <c r="P1380" s="10"/>
    </row>
    <row r="1381" spans="16:16">
      <c r="P1381" s="10"/>
    </row>
    <row r="1382" spans="16:16">
      <c r="P1382" s="10"/>
    </row>
    <row r="1383" spans="16:16">
      <c r="P1383" s="10"/>
    </row>
    <row r="1384" spans="16:16">
      <c r="P1384" s="10"/>
    </row>
    <row r="1385" spans="16:16">
      <c r="P1385" s="10"/>
    </row>
    <row r="1386" spans="16:16">
      <c r="P1386" s="10"/>
    </row>
    <row r="1387" spans="16:16">
      <c r="P1387" s="10"/>
    </row>
    <row r="1388" spans="16:16">
      <c r="P1388" s="10"/>
    </row>
    <row r="1389" spans="16:16">
      <c r="P1389" s="10"/>
    </row>
    <row r="1390" spans="16:16">
      <c r="P1390" s="10"/>
    </row>
    <row r="1391" spans="16:16">
      <c r="P1391" s="10"/>
    </row>
    <row r="1392" spans="16:16">
      <c r="P1392" s="10"/>
    </row>
    <row r="1393" spans="16:16">
      <c r="P1393" s="10"/>
    </row>
    <row r="1394" spans="16:16">
      <c r="P1394" s="10"/>
    </row>
    <row r="1395" spans="16:16">
      <c r="P1395" s="10"/>
    </row>
    <row r="1396" spans="16:16">
      <c r="P1396" s="10"/>
    </row>
    <row r="1397" spans="16:16">
      <c r="P1397" s="10"/>
    </row>
    <row r="1398" spans="16:16">
      <c r="P1398" s="10"/>
    </row>
    <row r="1399" spans="16:16">
      <c r="P1399" s="10"/>
    </row>
    <row r="1400" spans="16:16">
      <c r="P1400" s="10"/>
    </row>
    <row r="1401" spans="16:16">
      <c r="P1401" s="10"/>
    </row>
    <row r="1402" spans="16:16">
      <c r="P1402" s="10"/>
    </row>
    <row r="1403" spans="16:16">
      <c r="P1403" s="10"/>
    </row>
    <row r="1404" spans="16:16">
      <c r="P1404" s="10"/>
    </row>
    <row r="1405" spans="16:16">
      <c r="P1405" s="10"/>
    </row>
    <row r="1406" spans="16:16">
      <c r="P1406" s="10"/>
    </row>
    <row r="1407" spans="16:16">
      <c r="P1407" s="10"/>
    </row>
    <row r="1408" spans="16:16">
      <c r="P1408" s="10"/>
    </row>
    <row r="1409" spans="16:16">
      <c r="P1409" s="10"/>
    </row>
    <row r="1410" spans="16:16">
      <c r="P1410" s="10"/>
    </row>
    <row r="1411" spans="16:16">
      <c r="P1411" s="10"/>
    </row>
    <row r="1412" spans="16:16">
      <c r="P1412" s="10"/>
    </row>
    <row r="1413" spans="16:16">
      <c r="P1413" s="10"/>
    </row>
    <row r="1414" spans="16:16">
      <c r="P1414" s="10"/>
    </row>
    <row r="1415" spans="16:16">
      <c r="P1415" s="10"/>
    </row>
    <row r="1416" spans="16:16">
      <c r="P1416" s="10"/>
    </row>
    <row r="1417" spans="16:16">
      <c r="P1417" s="10"/>
    </row>
    <row r="1418" spans="16:16">
      <c r="P1418" s="10"/>
    </row>
    <row r="1419" spans="16:16">
      <c r="P1419" s="10"/>
    </row>
    <row r="1420" spans="16:16">
      <c r="P1420" s="10"/>
    </row>
    <row r="1421" spans="16:16">
      <c r="P1421" s="10"/>
    </row>
    <row r="1422" spans="16:16">
      <c r="P1422" s="10"/>
    </row>
    <row r="1423" spans="16:16">
      <c r="P1423" s="10"/>
    </row>
    <row r="1424" spans="16:16">
      <c r="P1424" s="10"/>
    </row>
    <row r="1425" spans="16:16">
      <c r="P1425" s="10"/>
    </row>
    <row r="1426" spans="16:16">
      <c r="P1426" s="10"/>
    </row>
    <row r="1427" spans="16:16">
      <c r="P1427" s="10"/>
    </row>
    <row r="1428" spans="16:16">
      <c r="P1428" s="10"/>
    </row>
    <row r="1429" spans="16:16">
      <c r="P1429" s="10"/>
    </row>
    <row r="1430" spans="16:16">
      <c r="P1430" s="10"/>
    </row>
    <row r="1431" spans="16:16">
      <c r="P1431" s="10"/>
    </row>
    <row r="1432" spans="16:16">
      <c r="P1432" s="10"/>
    </row>
    <row r="1433" spans="16:16">
      <c r="P1433" s="10"/>
    </row>
    <row r="1434" spans="16:16">
      <c r="P1434" s="10"/>
    </row>
    <row r="1435" spans="16:16">
      <c r="P1435" s="10"/>
    </row>
    <row r="1436" spans="16:16">
      <c r="P1436" s="10"/>
    </row>
    <row r="1437" spans="16:16">
      <c r="P1437" s="10"/>
    </row>
    <row r="1438" spans="16:16">
      <c r="P1438" s="10"/>
    </row>
    <row r="1439" spans="16:16">
      <c r="P1439" s="10"/>
    </row>
    <row r="1440" spans="16:16">
      <c r="P1440" s="10"/>
    </row>
    <row r="1441" spans="16:16">
      <c r="P1441" s="10"/>
    </row>
    <row r="1442" spans="16:16">
      <c r="P1442" s="10"/>
    </row>
    <row r="1443" spans="16:16">
      <c r="P1443" s="10"/>
    </row>
    <row r="1444" spans="16:16">
      <c r="P1444" s="10"/>
    </row>
    <row r="1445" spans="16:16">
      <c r="P1445" s="10"/>
    </row>
    <row r="1446" spans="16:16">
      <c r="P1446" s="10"/>
    </row>
    <row r="1447" spans="16:16">
      <c r="P1447" s="10"/>
    </row>
    <row r="1448" spans="16:16">
      <c r="P1448" s="10"/>
    </row>
    <row r="1449" spans="16:16">
      <c r="P1449" s="10"/>
    </row>
    <row r="1450" spans="16:16">
      <c r="P1450" s="10"/>
    </row>
    <row r="1451" spans="16:16">
      <c r="P1451" s="10"/>
    </row>
    <row r="1452" spans="16:16">
      <c r="P1452" s="10"/>
    </row>
    <row r="1453" spans="16:16">
      <c r="P1453" s="10"/>
    </row>
    <row r="1454" spans="16:16">
      <c r="P1454" s="10"/>
    </row>
    <row r="1455" spans="16:16">
      <c r="P1455" s="10"/>
    </row>
    <row r="1456" spans="16:16">
      <c r="P1456" s="10"/>
    </row>
    <row r="1457" spans="16:16">
      <c r="P1457" s="10"/>
    </row>
    <row r="1458" spans="16:16">
      <c r="P1458" s="10"/>
    </row>
    <row r="1459" spans="16:16">
      <c r="P1459" s="10"/>
    </row>
    <row r="1460" spans="16:16">
      <c r="P1460" s="10"/>
    </row>
    <row r="1461" spans="16:16">
      <c r="P1461" s="10"/>
    </row>
    <row r="1462" spans="16:16">
      <c r="P1462" s="10"/>
    </row>
    <row r="1463" spans="16:16">
      <c r="P1463" s="10"/>
    </row>
    <row r="1464" spans="16:16">
      <c r="P1464" s="10"/>
    </row>
    <row r="1465" spans="16:16">
      <c r="P1465" s="10"/>
    </row>
    <row r="1466" spans="16:16">
      <c r="P1466" s="10"/>
    </row>
    <row r="1467" spans="16:16">
      <c r="P1467" s="10"/>
    </row>
    <row r="1468" spans="16:16">
      <c r="P1468" s="10"/>
    </row>
    <row r="1469" spans="16:16">
      <c r="P1469" s="10"/>
    </row>
    <row r="1470" spans="16:16">
      <c r="P1470" s="10"/>
    </row>
    <row r="1471" spans="16:16">
      <c r="P1471" s="10"/>
    </row>
    <row r="1472" spans="16:16">
      <c r="P1472" s="10"/>
    </row>
    <row r="1473" spans="16:16">
      <c r="P1473" s="10"/>
    </row>
    <row r="1474" spans="16:16">
      <c r="P1474" s="10"/>
    </row>
    <row r="1475" spans="16:16">
      <c r="P1475" s="10"/>
    </row>
    <row r="1476" spans="16:16">
      <c r="P1476" s="10"/>
    </row>
    <row r="1477" spans="16:16">
      <c r="P1477" s="10"/>
    </row>
    <row r="1478" spans="16:16">
      <c r="P1478" s="10"/>
    </row>
  </sheetData>
  <mergeCells count="58">
    <mergeCell ref="A33:A51"/>
    <mergeCell ref="B33:B51"/>
    <mergeCell ref="C68:C95"/>
    <mergeCell ref="B68:B95"/>
    <mergeCell ref="A68:A95"/>
    <mergeCell ref="C33:C51"/>
    <mergeCell ref="E63:E66"/>
    <mergeCell ref="D63:D66"/>
    <mergeCell ref="D74:D77"/>
    <mergeCell ref="E74:E77"/>
    <mergeCell ref="E87:E90"/>
    <mergeCell ref="E93:E95"/>
    <mergeCell ref="D93:D95"/>
    <mergeCell ref="E68:E71"/>
    <mergeCell ref="D68:D71"/>
    <mergeCell ref="E72:E73"/>
    <mergeCell ref="D72:D73"/>
    <mergeCell ref="D91:D92"/>
    <mergeCell ref="D87:D90"/>
    <mergeCell ref="E91:E92"/>
    <mergeCell ref="D78:D83"/>
    <mergeCell ref="E84:E86"/>
    <mergeCell ref="D84:D86"/>
    <mergeCell ref="E78:E83"/>
    <mergeCell ref="A3:A31"/>
    <mergeCell ref="E7:E10"/>
    <mergeCell ref="D24:D28"/>
    <mergeCell ref="E24:E28"/>
    <mergeCell ref="C3:C31"/>
    <mergeCell ref="D11:D16"/>
    <mergeCell ref="D3:D6"/>
    <mergeCell ref="E3:E6"/>
    <mergeCell ref="D17:D23"/>
    <mergeCell ref="D7:D10"/>
    <mergeCell ref="D29:D31"/>
    <mergeCell ref="E29:E31"/>
    <mergeCell ref="D58:D59"/>
    <mergeCell ref="E60:E62"/>
    <mergeCell ref="E17:E23"/>
    <mergeCell ref="E11:E16"/>
    <mergeCell ref="B3:B31"/>
    <mergeCell ref="E56:E57"/>
    <mergeCell ref="D1:E1"/>
    <mergeCell ref="F1:G1"/>
    <mergeCell ref="C53:C66"/>
    <mergeCell ref="B53:B66"/>
    <mergeCell ref="A53:A66"/>
    <mergeCell ref="D39:D42"/>
    <mergeCell ref="D60:D62"/>
    <mergeCell ref="D33:D38"/>
    <mergeCell ref="D43:D51"/>
    <mergeCell ref="E43:E51"/>
    <mergeCell ref="D56:D57"/>
    <mergeCell ref="E33:E38"/>
    <mergeCell ref="E39:E42"/>
    <mergeCell ref="D53:D55"/>
    <mergeCell ref="E53:E55"/>
    <mergeCell ref="E58:E59"/>
  </mergeCells>
  <phoneticPr fontId="10" type="noConversion"/>
  <pageMargins left="0.75" right="0.75" top="1" bottom="1" header="0.5" footer="0.5"/>
  <pageSetup paperSize="9" scale="39" fitToHeight="0" orientation="landscape" horizontalDpi="4294967292" verticalDpi="4294967292"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EC0852-C9E0-FC42-AEB8-53685063E6A5}">
  <sheetPr>
    <pageSetUpPr fitToPage="1"/>
  </sheetPr>
  <dimension ref="A1:T68"/>
  <sheetViews>
    <sheetView tabSelected="1" topLeftCell="C1" zoomScale="90" zoomScaleNormal="90" workbookViewId="0">
      <selection activeCell="S38" sqref="S38"/>
    </sheetView>
  </sheetViews>
  <sheetFormatPr baseColWidth="10" defaultRowHeight="15.6"/>
  <cols>
    <col min="3" max="3" width="1.5" customWidth="1"/>
    <col min="5" max="5" width="1.8984375" customWidth="1"/>
    <col min="7" max="7" width="2.296875" customWidth="1"/>
    <col min="8" max="8" width="6.8984375" customWidth="1"/>
    <col min="10" max="10" width="4.69921875" customWidth="1"/>
    <col min="11" max="12" width="11.19921875" hidden="1" customWidth="1"/>
    <col min="13" max="13" width="11.09765625" style="195" customWidth="1"/>
    <col min="14" max="18" width="11.19921875" hidden="1" customWidth="1"/>
    <col min="19" max="19" width="9.765625E-2" hidden="1" customWidth="1"/>
  </cols>
  <sheetData>
    <row r="1" spans="1:19">
      <c r="A1" s="227" t="s">
        <v>61</v>
      </c>
      <c r="B1" s="221" t="s">
        <v>178</v>
      </c>
      <c r="C1" s="229"/>
      <c r="D1" s="221" t="s">
        <v>62</v>
      </c>
      <c r="E1" s="229"/>
      <c r="F1" s="221" t="s">
        <v>63</v>
      </c>
      <c r="G1" s="225"/>
      <c r="H1" s="227" t="s">
        <v>64</v>
      </c>
      <c r="I1" s="221" t="s">
        <v>65</v>
      </c>
      <c r="J1" s="231"/>
      <c r="K1" s="231"/>
      <c r="L1" s="229"/>
      <c r="M1" s="219" t="s">
        <v>66</v>
      </c>
      <c r="N1" s="221" t="s">
        <v>67</v>
      </c>
      <c r="O1" s="221" t="s">
        <v>68</v>
      </c>
      <c r="P1" s="221" t="s">
        <v>69</v>
      </c>
      <c r="Q1" s="223" t="s">
        <v>70</v>
      </c>
      <c r="R1" s="225" t="s">
        <v>71</v>
      </c>
      <c r="S1" s="80"/>
    </row>
    <row r="2" spans="1:19" ht="16.2" thickBot="1">
      <c r="A2" s="228"/>
      <c r="B2" s="222"/>
      <c r="C2" s="230"/>
      <c r="D2" s="222"/>
      <c r="E2" s="230"/>
      <c r="F2" s="222"/>
      <c r="G2" s="226"/>
      <c r="H2" s="228"/>
      <c r="I2" s="222"/>
      <c r="J2" s="232"/>
      <c r="K2" s="232"/>
      <c r="L2" s="230"/>
      <c r="M2" s="220"/>
      <c r="N2" s="222"/>
      <c r="O2" s="222"/>
      <c r="P2" s="222"/>
      <c r="Q2" s="224"/>
      <c r="R2" s="226"/>
      <c r="S2" s="80"/>
    </row>
    <row r="3" spans="1:19" ht="138.6" thickBot="1">
      <c r="A3" s="236" t="s">
        <v>179</v>
      </c>
      <c r="B3" s="239" t="s">
        <v>180</v>
      </c>
      <c r="C3" s="240"/>
      <c r="D3" s="239">
        <v>62000</v>
      </c>
      <c r="E3" s="240"/>
      <c r="F3" s="239" t="s">
        <v>72</v>
      </c>
      <c r="G3" s="245"/>
      <c r="H3" s="81">
        <v>71200</v>
      </c>
      <c r="I3" s="248" t="s">
        <v>75</v>
      </c>
      <c r="J3" s="249"/>
      <c r="K3" s="249"/>
      <c r="L3" s="250"/>
      <c r="M3" s="188">
        <f>SUMIFS(Breakdown!L$3:'Breakdown'!L$31, Breakdown!$F$3:'Breakdown'!$F$31, $H3, Breakdown!$H$3:'Breakdown'!$H$31, $F$3)</f>
        <v>15400</v>
      </c>
      <c r="N3" s="113">
        <f>SUMIFS(Breakdown!M$3:'Breakdown'!M$31, Breakdown!$F$3:'Breakdown'!$F$31, $H3, Breakdown!$H$3:'Breakdown'!$H$31, $F$3)</f>
        <v>14000</v>
      </c>
      <c r="O3" s="113">
        <f>SUMIFS(Breakdown!N$3:'Breakdown'!N$31, Breakdown!$F$3:'Breakdown'!$F$31, $H3, Breakdown!$H$3:'Breakdown'!$H$31, $F$3)</f>
        <v>0</v>
      </c>
      <c r="P3" s="113">
        <f>SUMIFS(Breakdown!O$3:'Breakdown'!O$31, Breakdown!$F$3:'Breakdown'!$F$31, $H3, Breakdown!$H$3:'Breakdown'!$H$31, $F$3)</f>
        <v>7000</v>
      </c>
      <c r="Q3" s="135">
        <f>SUM(M3:P3)</f>
        <v>36400</v>
      </c>
      <c r="R3" s="82">
        <v>1</v>
      </c>
      <c r="S3" s="80" t="s">
        <v>264</v>
      </c>
    </row>
    <row r="4" spans="1:19" ht="166.2" thickBot="1">
      <c r="A4" s="237"/>
      <c r="B4" s="241"/>
      <c r="C4" s="242"/>
      <c r="D4" s="241"/>
      <c r="E4" s="242"/>
      <c r="F4" s="241"/>
      <c r="G4" s="246"/>
      <c r="H4" s="81">
        <v>71300</v>
      </c>
      <c r="I4" s="233" t="s">
        <v>34</v>
      </c>
      <c r="J4" s="234"/>
      <c r="K4" s="234"/>
      <c r="L4" s="235"/>
      <c r="M4" s="188">
        <f>SUMIFS(Breakdown!L$3:'Breakdown'!L$31, Breakdown!$F$3:'Breakdown'!$F$31, $H4, Breakdown!$H$3:'Breakdown'!$H$31, $F$3)</f>
        <v>12900</v>
      </c>
      <c r="N4" s="113">
        <f>SUMIFS(Breakdown!M$3:'Breakdown'!M$31, Breakdown!$F$3:'Breakdown'!$F$31, $H4, Breakdown!$H$3:'Breakdown'!$H$31, $F$3)</f>
        <v>9900</v>
      </c>
      <c r="O4" s="113">
        <f>SUMIFS(Breakdown!N$3:'Breakdown'!N$31, Breakdown!$F$3:'Breakdown'!$F$31, $H4, Breakdown!$H$3:'Breakdown'!$H$31, $F$3)</f>
        <v>2700</v>
      </c>
      <c r="P4" s="113">
        <f>SUMIFS(Breakdown!O$3:'Breakdown'!O$31, Breakdown!$F$3:'Breakdown'!$F$31, $H4, Breakdown!$H$3:'Breakdown'!$H$31, $F$3)</f>
        <v>4500</v>
      </c>
      <c r="Q4" s="135">
        <f t="shared" ref="Q4:Q13" si="0">SUM(M4:P4)</f>
        <v>30000</v>
      </c>
      <c r="R4" s="82">
        <v>2</v>
      </c>
      <c r="S4" s="80" t="s">
        <v>310</v>
      </c>
    </row>
    <row r="5" spans="1:19" ht="276.60000000000002" thickBot="1">
      <c r="A5" s="237"/>
      <c r="B5" s="241"/>
      <c r="C5" s="242"/>
      <c r="D5" s="241"/>
      <c r="E5" s="242"/>
      <c r="F5" s="241"/>
      <c r="G5" s="246"/>
      <c r="H5" s="81">
        <v>71600</v>
      </c>
      <c r="I5" s="233" t="s">
        <v>18</v>
      </c>
      <c r="J5" s="234"/>
      <c r="K5" s="234"/>
      <c r="L5" s="235"/>
      <c r="M5" s="188">
        <f>SUMIFS(Breakdown!L$3:'Breakdown'!L$31, Breakdown!$F$3:'Breakdown'!$F$31, $H5, Breakdown!$H$3:'Breakdown'!$H$31, $F$3)</f>
        <v>22611</v>
      </c>
      <c r="N5" s="113">
        <f>SUMIFS(Breakdown!M$3:'Breakdown'!M$31, Breakdown!$F$3:'Breakdown'!$F$31, $H5, Breakdown!$H$3:'Breakdown'!$H$31, $F$3)</f>
        <v>16925</v>
      </c>
      <c r="O5" s="113">
        <f>SUMIFS(Breakdown!N$3:'Breakdown'!N$31, Breakdown!$F$3:'Breakdown'!$F$31, $H5, Breakdown!$H$3:'Breakdown'!$H$31, $F$3)</f>
        <v>4505</v>
      </c>
      <c r="P5" s="113">
        <f>SUMIFS(Breakdown!O$3:'Breakdown'!O$31, Breakdown!$F$3:'Breakdown'!$F$31, $H5, Breakdown!$H$3:'Breakdown'!$H$31, $F$3)</f>
        <v>1000</v>
      </c>
      <c r="Q5" s="135">
        <f t="shared" si="0"/>
        <v>45041</v>
      </c>
      <c r="R5" s="82">
        <v>3</v>
      </c>
      <c r="S5" s="80" t="s">
        <v>325</v>
      </c>
    </row>
    <row r="6" spans="1:19" ht="69.599999999999994" thickBot="1">
      <c r="A6" s="237"/>
      <c r="B6" s="241"/>
      <c r="C6" s="242"/>
      <c r="D6" s="241"/>
      <c r="E6" s="242"/>
      <c r="F6" s="241"/>
      <c r="G6" s="246"/>
      <c r="H6" s="83">
        <v>72300</v>
      </c>
      <c r="I6" s="233" t="s">
        <v>36</v>
      </c>
      <c r="J6" s="234"/>
      <c r="K6" s="234"/>
      <c r="L6" s="235"/>
      <c r="M6" s="188">
        <f>SUMIFS(Breakdown!L$3:'Breakdown'!L$31, Breakdown!$F$3:'Breakdown'!$F$31, $H6, Breakdown!$H$3:'Breakdown'!$H$31, $F$3)</f>
        <v>6000</v>
      </c>
      <c r="N6" s="113">
        <f>SUMIFS(Breakdown!M$3:'Breakdown'!M$31, Breakdown!$F$3:'Breakdown'!$F$31, $H6, Breakdown!$H$3:'Breakdown'!$H$31, $F$3)</f>
        <v>1000</v>
      </c>
      <c r="O6" s="113">
        <f>SUMIFS(Breakdown!N$3:'Breakdown'!N$31, Breakdown!$F$3:'Breakdown'!$F$31, $H6, Breakdown!$H$3:'Breakdown'!$H$31, $F$3)</f>
        <v>1000</v>
      </c>
      <c r="P6" s="113">
        <f>SUMIFS(Breakdown!O$3:'Breakdown'!O$31, Breakdown!$F$3:'Breakdown'!$F$31, $H6, Breakdown!$H$3:'Breakdown'!$H$31, $F$3)</f>
        <v>0</v>
      </c>
      <c r="Q6" s="135">
        <f t="shared" si="0"/>
        <v>8000</v>
      </c>
      <c r="R6" s="82">
        <v>4</v>
      </c>
      <c r="S6" s="80" t="s">
        <v>311</v>
      </c>
    </row>
    <row r="7" spans="1:19" ht="42" thickBot="1">
      <c r="A7" s="237"/>
      <c r="B7" s="241"/>
      <c r="C7" s="242"/>
      <c r="D7" s="241"/>
      <c r="E7" s="242"/>
      <c r="F7" s="241"/>
      <c r="G7" s="246"/>
      <c r="H7" s="84">
        <v>72500</v>
      </c>
      <c r="I7" s="251" t="s">
        <v>37</v>
      </c>
      <c r="J7" s="252"/>
      <c r="K7" s="252"/>
      <c r="L7" s="253"/>
      <c r="M7" s="188">
        <f>SUMIFS(Breakdown!L$3:'Breakdown'!L$31, Breakdown!$F$3:'Breakdown'!$F$31, $H7, Breakdown!$H$3:'Breakdown'!$H$31, $F$3)</f>
        <v>1000</v>
      </c>
      <c r="N7" s="113">
        <f>SUMIFS(Breakdown!M$3:'Breakdown'!M$31, Breakdown!$F$3:'Breakdown'!$F$31, $H7, Breakdown!$H$3:'Breakdown'!$H$31, $F$3)</f>
        <v>1000</v>
      </c>
      <c r="O7" s="113">
        <f>SUMIFS(Breakdown!N$3:'Breakdown'!N$31, Breakdown!$F$3:'Breakdown'!$F$31, $H7, Breakdown!$H$3:'Breakdown'!$H$31, $F$3)</f>
        <v>1000</v>
      </c>
      <c r="P7" s="113">
        <f>SUMIFS(Breakdown!O$3:'Breakdown'!O$31, Breakdown!$F$3:'Breakdown'!$F$31, $H7, Breakdown!$H$3:'Breakdown'!$H$31, $F$3)</f>
        <v>0</v>
      </c>
      <c r="Q7" s="135">
        <f t="shared" si="0"/>
        <v>3000</v>
      </c>
      <c r="R7" s="82">
        <v>5</v>
      </c>
      <c r="S7" s="80" t="s">
        <v>312</v>
      </c>
    </row>
    <row r="8" spans="1:19" ht="42" thickBot="1">
      <c r="A8" s="237"/>
      <c r="B8" s="241"/>
      <c r="C8" s="242"/>
      <c r="D8" s="241"/>
      <c r="E8" s="242"/>
      <c r="F8" s="241"/>
      <c r="G8" s="246"/>
      <c r="H8" s="81">
        <v>74200</v>
      </c>
      <c r="I8" s="251" t="s">
        <v>38</v>
      </c>
      <c r="J8" s="252"/>
      <c r="K8" s="252"/>
      <c r="L8" s="253"/>
      <c r="M8" s="188">
        <f>SUMIFS(Breakdown!L$3:'Breakdown'!L$31, Breakdown!$F$3:'Breakdown'!$F$31, $H8, Breakdown!$H$3:'Breakdown'!$H$31, $F$3)</f>
        <v>0</v>
      </c>
      <c r="N8" s="113">
        <f>SUMIFS(Breakdown!M$3:'Breakdown'!M$31, Breakdown!$F$3:'Breakdown'!$F$31, $H8, Breakdown!$H$3:'Breakdown'!$H$31, $F$3)</f>
        <v>1000</v>
      </c>
      <c r="O8" s="113">
        <f>SUMIFS(Breakdown!N$3:'Breakdown'!N$31, Breakdown!$F$3:'Breakdown'!$F$31, $H8, Breakdown!$H$3:'Breakdown'!$H$31, $F$3)</f>
        <v>0</v>
      </c>
      <c r="P8" s="113">
        <f>SUMIFS(Breakdown!O$3:'Breakdown'!O$31, Breakdown!$F$3:'Breakdown'!$F$31, $H8, Breakdown!$H$3:'Breakdown'!$H$31, $F$3)</f>
        <v>3000</v>
      </c>
      <c r="Q8" s="135">
        <f t="shared" si="0"/>
        <v>4000</v>
      </c>
      <c r="R8" s="82">
        <v>6</v>
      </c>
      <c r="S8" s="80" t="s">
        <v>265</v>
      </c>
    </row>
    <row r="9" spans="1:19" ht="152.4" thickBot="1">
      <c r="A9" s="237"/>
      <c r="B9" s="241"/>
      <c r="C9" s="242"/>
      <c r="D9" s="241"/>
      <c r="E9" s="242"/>
      <c r="F9" s="241"/>
      <c r="G9" s="246"/>
      <c r="H9" s="84">
        <v>75700</v>
      </c>
      <c r="I9" s="251" t="s">
        <v>181</v>
      </c>
      <c r="J9" s="252"/>
      <c r="K9" s="252"/>
      <c r="L9" s="253"/>
      <c r="M9" s="188">
        <f>SUMIFS(Breakdown!L$3:'Breakdown'!L$31, Breakdown!$F$3:'Breakdown'!$F$31, $H9, Breakdown!$H$3:'Breakdown'!$H$31, $F$3)</f>
        <v>14000</v>
      </c>
      <c r="N9" s="113">
        <f>SUMIFS(Breakdown!M$3:'Breakdown'!M$31, Breakdown!$F$3:'Breakdown'!$F$31, $H9, Breakdown!$H$3:'Breakdown'!$H$31, $F$3)</f>
        <v>11500</v>
      </c>
      <c r="O9" s="113">
        <f>SUMIFS(Breakdown!N$3:'Breakdown'!N$31, Breakdown!$F$3:'Breakdown'!$F$31, $H9, Breakdown!$H$3:'Breakdown'!$H$31, $F$3)</f>
        <v>3500</v>
      </c>
      <c r="P9" s="113">
        <f>SUMIFS(Breakdown!O$3:'Breakdown'!O$31, Breakdown!$F$3:'Breakdown'!$F$31, $H9, Breakdown!$H$3:'Breakdown'!$H$31, $F$3)</f>
        <v>1500</v>
      </c>
      <c r="Q9" s="135">
        <f t="shared" si="0"/>
        <v>30500</v>
      </c>
      <c r="R9" s="82">
        <v>7</v>
      </c>
      <c r="S9" s="80" t="s">
        <v>313</v>
      </c>
    </row>
    <row r="10" spans="1:19" ht="42" thickBot="1">
      <c r="A10" s="237"/>
      <c r="B10" s="241"/>
      <c r="C10" s="242"/>
      <c r="D10" s="241"/>
      <c r="E10" s="242"/>
      <c r="F10" s="241"/>
      <c r="G10" s="246"/>
      <c r="H10" s="81">
        <v>72800</v>
      </c>
      <c r="I10" s="251" t="s">
        <v>41</v>
      </c>
      <c r="J10" s="252"/>
      <c r="K10" s="252"/>
      <c r="L10" s="253"/>
      <c r="M10" s="188">
        <f>SUMIFS(Breakdown!L$3:'Breakdown'!L$31, Breakdown!$F$3:'Breakdown'!$F$31, $H10, Breakdown!$H$3:'Breakdown'!$H$31, $F$3)</f>
        <v>8000</v>
      </c>
      <c r="N10" s="113">
        <f>SUMIFS(Breakdown!M$3:'Breakdown'!M$31, Breakdown!$F$3:'Breakdown'!$F$31, $H10, Breakdown!$H$3:'Breakdown'!$H$31, $F$3)</f>
        <v>0</v>
      </c>
      <c r="O10" s="113">
        <f>SUMIFS(Breakdown!N$3:'Breakdown'!N$31, Breakdown!$F$3:'Breakdown'!$F$31, $H10, Breakdown!$H$3:'Breakdown'!$H$31, $F$3)</f>
        <v>0</v>
      </c>
      <c r="P10" s="113">
        <f>SUMIFS(Breakdown!O$3:'Breakdown'!O$31, Breakdown!$F$3:'Breakdown'!$F$31, $H10, Breakdown!$H$3:'Breakdown'!$H$31, $F$3)</f>
        <v>0</v>
      </c>
      <c r="Q10" s="135">
        <f t="shared" si="0"/>
        <v>8000</v>
      </c>
      <c r="R10" s="82">
        <v>8</v>
      </c>
      <c r="S10" s="80" t="s">
        <v>262</v>
      </c>
    </row>
    <row r="11" spans="1:19" ht="16.2" thickBot="1">
      <c r="A11" s="237"/>
      <c r="B11" s="241"/>
      <c r="C11" s="242"/>
      <c r="D11" s="243"/>
      <c r="E11" s="244"/>
      <c r="F11" s="243"/>
      <c r="G11" s="247"/>
      <c r="H11" s="87"/>
      <c r="I11" s="254" t="s">
        <v>73</v>
      </c>
      <c r="J11" s="255"/>
      <c r="K11" s="255"/>
      <c r="L11" s="256"/>
      <c r="M11" s="189">
        <f>SUM(M3:M10)</f>
        <v>79911</v>
      </c>
      <c r="N11" s="114">
        <f t="shared" ref="N11:P11" si="1">SUM(N3:N10)</f>
        <v>55325</v>
      </c>
      <c r="O11" s="114">
        <f t="shared" si="1"/>
        <v>12705</v>
      </c>
      <c r="P11" s="114">
        <f t="shared" si="1"/>
        <v>17000</v>
      </c>
      <c r="Q11" s="114">
        <f>SUM(M11:P11)</f>
        <v>164941</v>
      </c>
      <c r="R11" s="141"/>
      <c r="S11" s="80"/>
    </row>
    <row r="12" spans="1:19" ht="83.4" thickBot="1">
      <c r="A12" s="237"/>
      <c r="B12" s="241"/>
      <c r="C12" s="242"/>
      <c r="D12" s="239">
        <v>4000</v>
      </c>
      <c r="E12" s="245"/>
      <c r="F12" s="265" t="s">
        <v>32</v>
      </c>
      <c r="G12" s="245"/>
      <c r="H12" s="82">
        <v>71200</v>
      </c>
      <c r="I12" s="233" t="s">
        <v>33</v>
      </c>
      <c r="J12" s="234"/>
      <c r="K12" s="234"/>
      <c r="L12" s="235"/>
      <c r="M12" s="188">
        <f>SUMIFS(Breakdown!L$3:'Breakdown'!L$31, Breakdown!$F$3:'Breakdown'!$F$31, $H12, Breakdown!$H$3:'Breakdown'!$H$31, $F$12)</f>
        <v>15400</v>
      </c>
      <c r="N12" s="113">
        <f>SUMIFS(Breakdown!M$3:'Breakdown'!M$31, Breakdown!$F$3:'Breakdown'!$F$31, $H12, Breakdown!$H$3:'Breakdown'!$H$31, $F$12)</f>
        <v>5600</v>
      </c>
      <c r="O12" s="113">
        <f>SUMIFS(Breakdown!N$3:'Breakdown'!N$31, Breakdown!$F$3:'Breakdown'!$F$31, $H12, Breakdown!$H$3:'Breakdown'!$H$31, $F$12)</f>
        <v>2800</v>
      </c>
      <c r="P12" s="113">
        <f>SUMIFS(Breakdown!O$3:'Breakdown'!O$31, Breakdown!$F$3:'Breakdown'!$F$31, $H12, Breakdown!$H$3:'Breakdown'!$H$31, $F$12)</f>
        <v>0</v>
      </c>
      <c r="Q12" s="135">
        <f t="shared" si="0"/>
        <v>23800</v>
      </c>
      <c r="R12" s="82">
        <v>9</v>
      </c>
      <c r="S12" s="80" t="s">
        <v>333</v>
      </c>
    </row>
    <row r="13" spans="1:19" ht="28.2" thickBot="1">
      <c r="A13" s="237"/>
      <c r="B13" s="241"/>
      <c r="C13" s="242"/>
      <c r="D13" s="241"/>
      <c r="E13" s="246"/>
      <c r="F13" s="266"/>
      <c r="G13" s="246"/>
      <c r="H13" s="82">
        <v>72300</v>
      </c>
      <c r="I13" s="233" t="s">
        <v>36</v>
      </c>
      <c r="J13" s="234"/>
      <c r="K13" s="234"/>
      <c r="L13" s="235"/>
      <c r="M13" s="188">
        <f>SUMIFS(Breakdown!L$3:'Breakdown'!L$31, Breakdown!$F$3:'Breakdown'!$F$31, $H13, Breakdown!$H$3:'Breakdown'!$H$31, $F$12)</f>
        <v>4000</v>
      </c>
      <c r="N13" s="113">
        <f>SUMIFS(Breakdown!M$3:'Breakdown'!M$31, Breakdown!$F$3:'Breakdown'!$F$31, $H13, Breakdown!$H$3:'Breakdown'!$H$31, $F$12)</f>
        <v>4000</v>
      </c>
      <c r="O13" s="113">
        <f>SUMIFS(Breakdown!N$3:'Breakdown'!N$31, Breakdown!$F$3:'Breakdown'!$F$31, $H13, Breakdown!$H$3:'Breakdown'!$H$31, $F$12)</f>
        <v>0</v>
      </c>
      <c r="P13" s="113">
        <f>SUMIFS(Breakdown!O$3:'Breakdown'!O$31, Breakdown!$F$3:'Breakdown'!$F$31, $H13, Breakdown!$H$3:'Breakdown'!$H$31, $F$12)</f>
        <v>0</v>
      </c>
      <c r="Q13" s="135">
        <f t="shared" si="0"/>
        <v>8000</v>
      </c>
      <c r="R13" s="82">
        <v>10</v>
      </c>
      <c r="S13" s="80" t="s">
        <v>263</v>
      </c>
    </row>
    <row r="14" spans="1:19" ht="16.2" thickBot="1">
      <c r="A14" s="237"/>
      <c r="B14" s="241"/>
      <c r="C14" s="242"/>
      <c r="D14" s="263"/>
      <c r="E14" s="264"/>
      <c r="F14" s="267"/>
      <c r="G14" s="264"/>
      <c r="H14" s="89"/>
      <c r="I14" s="268" t="s">
        <v>84</v>
      </c>
      <c r="J14" s="269"/>
      <c r="K14" s="269"/>
      <c r="L14" s="270"/>
      <c r="M14" s="189">
        <f>SUM(M12:M13)</f>
        <v>19400</v>
      </c>
      <c r="N14" s="115">
        <f t="shared" ref="N14:P14" si="2">SUM(N12:N13)</f>
        <v>9600</v>
      </c>
      <c r="O14" s="115">
        <f t="shared" si="2"/>
        <v>2800</v>
      </c>
      <c r="P14" s="115">
        <f t="shared" si="2"/>
        <v>0</v>
      </c>
      <c r="Q14" s="142">
        <f>SUM(M14:P14)</f>
        <v>31800</v>
      </c>
      <c r="R14" s="89"/>
      <c r="S14" s="80"/>
    </row>
    <row r="15" spans="1:19" ht="16.2" thickBot="1">
      <c r="A15" s="238"/>
      <c r="B15" s="243"/>
      <c r="C15" s="244"/>
      <c r="D15" s="257"/>
      <c r="E15" s="258"/>
      <c r="F15" s="259"/>
      <c r="G15" s="258"/>
      <c r="H15" s="90"/>
      <c r="I15" s="260" t="s">
        <v>74</v>
      </c>
      <c r="J15" s="261"/>
      <c r="K15" s="261"/>
      <c r="L15" s="262"/>
      <c r="M15" s="189">
        <f>M11+M14</f>
        <v>99311</v>
      </c>
      <c r="N15" s="116">
        <f t="shared" ref="N15:P15" si="3">N11+N14</f>
        <v>64925</v>
      </c>
      <c r="O15" s="116">
        <f t="shared" si="3"/>
        <v>15505</v>
      </c>
      <c r="P15" s="116">
        <f t="shared" si="3"/>
        <v>17000</v>
      </c>
      <c r="Q15" s="137">
        <f>SUM(M15:P15)</f>
        <v>196741</v>
      </c>
      <c r="R15" s="91"/>
      <c r="S15" s="80"/>
    </row>
    <row r="16" spans="1:19" ht="42" thickBot="1">
      <c r="A16" s="236" t="s">
        <v>182</v>
      </c>
      <c r="B16" s="239" t="s">
        <v>60</v>
      </c>
      <c r="C16" s="240"/>
      <c r="D16" s="271">
        <v>62000</v>
      </c>
      <c r="E16" s="272"/>
      <c r="F16" s="273" t="s">
        <v>72</v>
      </c>
      <c r="G16" s="272"/>
      <c r="H16" s="81">
        <v>71200</v>
      </c>
      <c r="I16" s="233" t="s">
        <v>75</v>
      </c>
      <c r="J16" s="234"/>
      <c r="K16" s="234"/>
      <c r="L16" s="235"/>
      <c r="M16" s="188">
        <f>SUMIFS(Breakdown!L$33:'Breakdown'!L$51, Breakdown!$F$33:'Breakdown'!$F$51, $H16, Breakdown!$H$33:'Breakdown'!$H$51, $F$16)</f>
        <v>19020</v>
      </c>
      <c r="N16" s="113">
        <f>SUMIFS(Breakdown!M$33:'Breakdown'!M$51, Breakdown!$F$33:'Breakdown'!$F$51, $H16, Breakdown!$H$33:'Breakdown'!$H$51, $F$16)</f>
        <v>0</v>
      </c>
      <c r="O16" s="113">
        <f>SUMIFS(Breakdown!N$33:'Breakdown'!N$51, Breakdown!$F$33:'Breakdown'!$F$51, $H16, Breakdown!$H$33:'Breakdown'!$H$51, $F$16)</f>
        <v>0</v>
      </c>
      <c r="P16" s="113">
        <f>SUMIFS(Breakdown!O$33:'Breakdown'!O$51, Breakdown!$F$33:'Breakdown'!$F$51, $H16, Breakdown!$H$33:'Breakdown'!$H$51, $F$16)</f>
        <v>0</v>
      </c>
      <c r="Q16" s="135">
        <f>SUM(M16:P16)</f>
        <v>19020</v>
      </c>
      <c r="R16" s="82">
        <v>11</v>
      </c>
      <c r="S16" s="80" t="s">
        <v>314</v>
      </c>
    </row>
    <row r="17" spans="1:20" ht="69.599999999999994" thickBot="1">
      <c r="A17" s="237"/>
      <c r="B17" s="241"/>
      <c r="C17" s="242"/>
      <c r="D17" s="241"/>
      <c r="E17" s="246"/>
      <c r="F17" s="266"/>
      <c r="G17" s="246"/>
      <c r="H17" s="81">
        <v>71300</v>
      </c>
      <c r="I17" s="251" t="s">
        <v>34</v>
      </c>
      <c r="J17" s="252"/>
      <c r="K17" s="252"/>
      <c r="L17" s="253"/>
      <c r="M17" s="188">
        <f>SUMIFS(Breakdown!L$33:'Breakdown'!L$51, Breakdown!$F$33:'Breakdown'!$F$51, $H17, Breakdown!$H$33:'Breakdown'!$H$51, $F$16)</f>
        <v>6600</v>
      </c>
      <c r="N17" s="113">
        <f>SUMIFS(Breakdown!M$33:'Breakdown'!M$51, Breakdown!$F$33:'Breakdown'!$F$51, $H17, Breakdown!$H$33:'Breakdown'!$H$51, $F$16)</f>
        <v>6600</v>
      </c>
      <c r="O17" s="113">
        <f>SUMIFS(Breakdown!N$33:'Breakdown'!N$51, Breakdown!$F$33:'Breakdown'!$F$51, $H17, Breakdown!$H$33:'Breakdown'!$H$51, $F$16)</f>
        <v>0</v>
      </c>
      <c r="P17" s="113">
        <f>SUMIFS(Breakdown!O$33:'Breakdown'!O$51, Breakdown!$F$33:'Breakdown'!$F$51, $H17, Breakdown!$H$33:'Breakdown'!$H$51, $F$16)</f>
        <v>0</v>
      </c>
      <c r="Q17" s="135">
        <f t="shared" ref="Q17:Q29" si="4">SUM(M17:P17)</f>
        <v>13200</v>
      </c>
      <c r="R17" s="82">
        <v>12</v>
      </c>
      <c r="S17" s="80" t="s">
        <v>326</v>
      </c>
    </row>
    <row r="18" spans="1:20" ht="97.2" thickBot="1">
      <c r="A18" s="237"/>
      <c r="B18" s="241"/>
      <c r="C18" s="242"/>
      <c r="D18" s="241"/>
      <c r="E18" s="246"/>
      <c r="F18" s="266"/>
      <c r="G18" s="246"/>
      <c r="H18" s="92">
        <v>71600</v>
      </c>
      <c r="I18" s="233" t="s">
        <v>18</v>
      </c>
      <c r="J18" s="234"/>
      <c r="K18" s="234"/>
      <c r="L18" s="235"/>
      <c r="M18" s="188">
        <f>SUMIFS(Breakdown!L$33:'Breakdown'!L$51, Breakdown!$F$33:'Breakdown'!$F$51, $H18, Breakdown!$H$33:'Breakdown'!$H$51, $F$16)</f>
        <v>4005</v>
      </c>
      <c r="N18" s="113">
        <f>SUMIFS(Breakdown!M$33:'Breakdown'!M$51, Breakdown!$F$33:'Breakdown'!$F$51, $H18, Breakdown!$H$33:'Breakdown'!$H$51, $F$16)</f>
        <v>16125</v>
      </c>
      <c r="O18" s="113">
        <f>SUMIFS(Breakdown!N$33:'Breakdown'!N$51, Breakdown!$F$33:'Breakdown'!$F$51, $H18, Breakdown!$H$33:'Breakdown'!$H$51, $F$16)</f>
        <v>0</v>
      </c>
      <c r="P18" s="113">
        <f>SUMIFS(Breakdown!O$33:'Breakdown'!O$51, Breakdown!$F$33:'Breakdown'!$F$51, $H18, Breakdown!$H$33:'Breakdown'!$H$51, $F$16)</f>
        <v>0</v>
      </c>
      <c r="Q18" s="135">
        <f t="shared" si="4"/>
        <v>20130</v>
      </c>
      <c r="R18" s="82">
        <v>13</v>
      </c>
      <c r="S18" s="80" t="s">
        <v>315</v>
      </c>
    </row>
    <row r="19" spans="1:20" ht="42" thickBot="1">
      <c r="A19" s="237"/>
      <c r="B19" s="241"/>
      <c r="C19" s="242"/>
      <c r="D19" s="241"/>
      <c r="E19" s="246"/>
      <c r="F19" s="266"/>
      <c r="G19" s="246"/>
      <c r="H19" s="81">
        <v>72100</v>
      </c>
      <c r="I19" s="251" t="s">
        <v>76</v>
      </c>
      <c r="J19" s="252"/>
      <c r="K19" s="252"/>
      <c r="L19" s="253"/>
      <c r="M19" s="188">
        <f>SUMIFS(Breakdown!L$33:'Breakdown'!L$51, Breakdown!$F$33:'Breakdown'!$F$51, $H19, Breakdown!$H$33:'Breakdown'!$H$51, $F$16)</f>
        <v>0</v>
      </c>
      <c r="N19" s="113">
        <f>SUMIFS(Breakdown!M$33:'Breakdown'!M$51, Breakdown!$F$33:'Breakdown'!$F$51, $H19, Breakdown!$H$33:'Breakdown'!$H$51, $F$16)</f>
        <v>6506</v>
      </c>
      <c r="O19" s="113">
        <f>SUMIFS(Breakdown!N$33:'Breakdown'!N$51, Breakdown!$F$33:'Breakdown'!$F$51, $H19, Breakdown!$H$33:'Breakdown'!$H$51, $F$16)</f>
        <v>3297</v>
      </c>
      <c r="P19" s="113">
        <f>SUMIFS(Breakdown!O$33:'Breakdown'!O$51, Breakdown!$F$33:'Breakdown'!$F$51, $H19, Breakdown!$H$33:'Breakdown'!$H$51, $F$16)</f>
        <v>3297</v>
      </c>
      <c r="Q19" s="135">
        <f t="shared" si="4"/>
        <v>13100</v>
      </c>
      <c r="R19" s="82">
        <v>14</v>
      </c>
      <c r="S19" s="80" t="s">
        <v>266</v>
      </c>
      <c r="T19" s="79"/>
    </row>
    <row r="20" spans="1:20" ht="28.2" thickBot="1">
      <c r="A20" s="237"/>
      <c r="B20" s="241"/>
      <c r="C20" s="242"/>
      <c r="D20" s="241"/>
      <c r="E20" s="246"/>
      <c r="F20" s="266"/>
      <c r="G20" s="246"/>
      <c r="H20" s="92">
        <v>72300</v>
      </c>
      <c r="I20" s="233" t="s">
        <v>36</v>
      </c>
      <c r="J20" s="234"/>
      <c r="K20" s="234"/>
      <c r="L20" s="235"/>
      <c r="M20" s="188">
        <f>SUMIFS(Breakdown!L$33:'Breakdown'!L$51, Breakdown!$F$33:'Breakdown'!$F$51, $H20, Breakdown!$H$33:'Breakdown'!$H$51, $F$16)</f>
        <v>0</v>
      </c>
      <c r="N20" s="113">
        <f>SUMIFS(Breakdown!M$33:'Breakdown'!M$51, Breakdown!$F$33:'Breakdown'!$F$51, $H20, Breakdown!$H$33:'Breakdown'!$H$51, $F$16)</f>
        <v>236378</v>
      </c>
      <c r="O20" s="113">
        <f>SUMIFS(Breakdown!N$33:'Breakdown'!N$51, Breakdown!$F$33:'Breakdown'!$F$51, $H20, Breakdown!$H$33:'Breakdown'!$H$51, $F$16)</f>
        <v>0</v>
      </c>
      <c r="P20" s="113">
        <f>SUMIFS(Breakdown!O$33:'Breakdown'!O$51, Breakdown!$F$33:'Breakdown'!$F$51, $H20, Breakdown!$H$33:'Breakdown'!$H$51, $F$16)</f>
        <v>0</v>
      </c>
      <c r="Q20" s="135">
        <f t="shared" si="4"/>
        <v>236378</v>
      </c>
      <c r="R20" s="82">
        <v>15</v>
      </c>
      <c r="S20" s="80" t="s">
        <v>267</v>
      </c>
    </row>
    <row r="21" spans="1:20" ht="28.2" thickBot="1">
      <c r="A21" s="237"/>
      <c r="B21" s="241"/>
      <c r="C21" s="242"/>
      <c r="D21" s="241"/>
      <c r="E21" s="246"/>
      <c r="F21" s="266"/>
      <c r="G21" s="246"/>
      <c r="H21" s="92">
        <v>72800</v>
      </c>
      <c r="I21" s="251" t="s">
        <v>41</v>
      </c>
      <c r="J21" s="252"/>
      <c r="K21" s="252"/>
      <c r="L21" s="253"/>
      <c r="M21" s="188">
        <f>SUMIFS(Breakdown!L$33:'Breakdown'!L$51, Breakdown!$F$33:'Breakdown'!$F$51, $H21, Breakdown!$H$33:'Breakdown'!$H$51, $F$16)</f>
        <v>2500</v>
      </c>
      <c r="N21" s="113">
        <f>SUMIFS(Breakdown!M$33:'Breakdown'!M$51, Breakdown!$F$33:'Breakdown'!$F$51, $H21, Breakdown!$H$33:'Breakdown'!$H$51, $F$16)</f>
        <v>0</v>
      </c>
      <c r="O21" s="113">
        <f>SUMIFS(Breakdown!N$33:'Breakdown'!N$51, Breakdown!$F$33:'Breakdown'!$F$51, $H21, Breakdown!$H$33:'Breakdown'!$H$51, $F$16)</f>
        <v>0</v>
      </c>
      <c r="P21" s="113">
        <f>SUMIFS(Breakdown!O$33:'Breakdown'!O$51, Breakdown!$F$33:'Breakdown'!$F$51, $H21, Breakdown!$H$33:'Breakdown'!$H$51, $F$16)</f>
        <v>0</v>
      </c>
      <c r="Q21" s="135">
        <f t="shared" si="4"/>
        <v>2500</v>
      </c>
      <c r="R21" s="82">
        <v>16</v>
      </c>
      <c r="S21" s="80" t="s">
        <v>316</v>
      </c>
    </row>
    <row r="22" spans="1:20" ht="28.2" thickBot="1">
      <c r="A22" s="237"/>
      <c r="B22" s="241"/>
      <c r="C22" s="242"/>
      <c r="D22" s="241"/>
      <c r="E22" s="246"/>
      <c r="F22" s="266"/>
      <c r="G22" s="246"/>
      <c r="H22" s="24">
        <v>74200</v>
      </c>
      <c r="I22" s="233" t="s">
        <v>38</v>
      </c>
      <c r="J22" s="234"/>
      <c r="K22" s="234"/>
      <c r="L22" s="235"/>
      <c r="M22" s="188">
        <f>SUMIFS(Breakdown!L$33:'Breakdown'!L$51, Breakdown!$F$33:'Breakdown'!$F$51, $H22, Breakdown!$H$33:'Breakdown'!$H$51, $F$16)</f>
        <v>1500</v>
      </c>
      <c r="N22" s="113">
        <f>SUMIFS(Breakdown!M$33:'Breakdown'!M$51, Breakdown!$F$33:'Breakdown'!$F$51, $H22, Breakdown!$H$33:'Breakdown'!$H$51, $F$16)</f>
        <v>0</v>
      </c>
      <c r="O22" s="113">
        <f>SUMIFS(Breakdown!N$33:'Breakdown'!N$51, Breakdown!$F$33:'Breakdown'!$F$51, $H22, Breakdown!$H$33:'Breakdown'!$H$51, $F$16)</f>
        <v>0</v>
      </c>
      <c r="P22" s="113">
        <f>SUMIFS(Breakdown!O$33:'Breakdown'!O$51, Breakdown!$F$33:'Breakdown'!$F$51, $H22, Breakdown!$H$33:'Breakdown'!$H$51, $F$16)</f>
        <v>0</v>
      </c>
      <c r="Q22" s="135">
        <f t="shared" si="4"/>
        <v>1500</v>
      </c>
      <c r="R22" s="82">
        <v>17</v>
      </c>
      <c r="S22" s="80" t="s">
        <v>317</v>
      </c>
    </row>
    <row r="23" spans="1:20" ht="83.4" thickBot="1">
      <c r="A23" s="237"/>
      <c r="B23" s="241"/>
      <c r="C23" s="242"/>
      <c r="D23" s="241"/>
      <c r="E23" s="246"/>
      <c r="F23" s="266"/>
      <c r="G23" s="246"/>
      <c r="H23" s="23">
        <v>75700</v>
      </c>
      <c r="I23" s="233" t="s">
        <v>181</v>
      </c>
      <c r="J23" s="234"/>
      <c r="K23" s="234"/>
      <c r="L23" s="235"/>
      <c r="M23" s="188">
        <f>SUMIFS(Breakdown!L$33:'Breakdown'!L$51, Breakdown!$F$33:'Breakdown'!$F$51, $H23, Breakdown!$H$33:'Breakdown'!$H$51, $F$16)</f>
        <v>7500</v>
      </c>
      <c r="N23" s="113">
        <f>SUMIFS(Breakdown!M$33:'Breakdown'!M$51, Breakdown!$F$33:'Breakdown'!$F$51, $H23, Breakdown!$H$33:'Breakdown'!$H$51, $F$16)</f>
        <v>10000</v>
      </c>
      <c r="O23" s="113">
        <f>SUMIFS(Breakdown!N$33:'Breakdown'!N$51, Breakdown!$F$33:'Breakdown'!$F$51, $H23, Breakdown!$H$33:'Breakdown'!$H$51, $F$16)</f>
        <v>7500</v>
      </c>
      <c r="P23" s="113">
        <f>SUMIFS(Breakdown!O$33:'Breakdown'!O$51, Breakdown!$F$33:'Breakdown'!$F$51, $H23, Breakdown!$H$33:'Breakdown'!$H$51, $F$16)</f>
        <v>0</v>
      </c>
      <c r="Q23" s="135">
        <f t="shared" si="4"/>
        <v>25000</v>
      </c>
      <c r="R23" s="82">
        <v>18</v>
      </c>
      <c r="S23" s="80" t="s">
        <v>318</v>
      </c>
    </row>
    <row r="24" spans="1:20" ht="16.2" thickBot="1">
      <c r="A24" s="237"/>
      <c r="B24" s="241"/>
      <c r="C24" s="242"/>
      <c r="D24" s="243"/>
      <c r="E24" s="247"/>
      <c r="F24" s="274"/>
      <c r="G24" s="247"/>
      <c r="H24" s="93"/>
      <c r="I24" s="254" t="s">
        <v>73</v>
      </c>
      <c r="J24" s="255"/>
      <c r="K24" s="255"/>
      <c r="L24" s="256"/>
      <c r="M24" s="189">
        <f>SUM(M16:M23)</f>
        <v>41125</v>
      </c>
      <c r="N24" s="114">
        <f t="shared" ref="N24:P24" si="5">SUM(N16:N23)</f>
        <v>275609</v>
      </c>
      <c r="O24" s="114">
        <f t="shared" si="5"/>
        <v>10797</v>
      </c>
      <c r="P24" s="114">
        <f t="shared" si="5"/>
        <v>3297</v>
      </c>
      <c r="Q24" s="143">
        <f t="shared" si="4"/>
        <v>330828</v>
      </c>
      <c r="R24" s="94"/>
      <c r="S24" s="80"/>
      <c r="T24" s="79"/>
    </row>
    <row r="25" spans="1:20" ht="97.2" thickBot="1">
      <c r="A25" s="237"/>
      <c r="B25" s="241"/>
      <c r="C25" s="242"/>
      <c r="D25" s="239">
        <v>4000</v>
      </c>
      <c r="E25" s="245"/>
      <c r="F25" s="265" t="s">
        <v>32</v>
      </c>
      <c r="G25" s="245"/>
      <c r="H25" s="95">
        <v>71200</v>
      </c>
      <c r="I25" s="233" t="s">
        <v>75</v>
      </c>
      <c r="J25" s="234"/>
      <c r="K25" s="234"/>
      <c r="L25" s="235"/>
      <c r="M25" s="188">
        <f>SUMIFS(Breakdown!L$33:'Breakdown'!L$51, Breakdown!$F$33:'Breakdown'!$F$51, $H25, Breakdown!$H$33:'Breakdown'!$H$51, $F$25)</f>
        <v>15315</v>
      </c>
      <c r="N25" s="113">
        <f>SUMIFS(Breakdown!M$33:'Breakdown'!M$51, Breakdown!$F$33:'Breakdown'!$F$51, $H25, Breakdown!$H$33:'Breakdown'!$H$51, $F$25)</f>
        <v>15412</v>
      </c>
      <c r="O25" s="113">
        <f>SUMIFS(Breakdown!N$33:'Breakdown'!N$51, Breakdown!$F$33:'Breakdown'!$F$51, $H25, Breakdown!$H$33:'Breakdown'!$H$51, $F$25)</f>
        <v>6409</v>
      </c>
      <c r="P25" s="113">
        <f>SUMIFS(Breakdown!O$33:'Breakdown'!O$51, Breakdown!$F$33:'Breakdown'!$F$51, $H25, Breakdown!$H$33:'Breakdown'!$H$51, $F$25)</f>
        <v>6312</v>
      </c>
      <c r="Q25" s="135">
        <f t="shared" si="4"/>
        <v>43448</v>
      </c>
      <c r="R25" s="82">
        <v>19</v>
      </c>
      <c r="S25" s="80" t="s">
        <v>327</v>
      </c>
    </row>
    <row r="26" spans="1:20" ht="42" thickBot="1">
      <c r="A26" s="237"/>
      <c r="B26" s="241"/>
      <c r="C26" s="242"/>
      <c r="D26" s="241"/>
      <c r="E26" s="246"/>
      <c r="F26" s="266"/>
      <c r="G26" s="246"/>
      <c r="H26" s="95">
        <v>72100</v>
      </c>
      <c r="I26" s="251" t="s">
        <v>76</v>
      </c>
      <c r="J26" s="252"/>
      <c r="K26" s="252"/>
      <c r="L26" s="253"/>
      <c r="M26" s="188">
        <f>SUMIFS(Breakdown!L$33:'Breakdown'!L$51, Breakdown!$F$33:'Breakdown'!$F$51, $H26, Breakdown!$H$33:'Breakdown'!$H$51, $F$25)</f>
        <v>2000</v>
      </c>
      <c r="N26" s="113">
        <f>SUMIFS(Breakdown!M$33:'Breakdown'!M$51, Breakdown!$F$33:'Breakdown'!$F$51, $H26, Breakdown!$H$33:'Breakdown'!$H$51, $F$25)</f>
        <v>2000</v>
      </c>
      <c r="O26" s="113">
        <f>SUMIFS(Breakdown!N$33:'Breakdown'!N$51, Breakdown!$F$33:'Breakdown'!$F$51, $H26, Breakdown!$H$33:'Breakdown'!$H$51, $F$25)</f>
        <v>0</v>
      </c>
      <c r="P26" s="113">
        <f>SUMIFS(Breakdown!O$33:'Breakdown'!O$51, Breakdown!$F$33:'Breakdown'!$F$51, $H26, Breakdown!$H$33:'Breakdown'!$H$51, $F$25)</f>
        <v>0</v>
      </c>
      <c r="Q26" s="135">
        <f t="shared" si="4"/>
        <v>4000</v>
      </c>
      <c r="R26" s="82">
        <v>20</v>
      </c>
      <c r="S26" s="80" t="s">
        <v>320</v>
      </c>
    </row>
    <row r="27" spans="1:20" ht="55.8" thickBot="1">
      <c r="A27" s="237"/>
      <c r="B27" s="241"/>
      <c r="C27" s="242"/>
      <c r="D27" s="241"/>
      <c r="E27" s="246"/>
      <c r="F27" s="266"/>
      <c r="G27" s="246"/>
      <c r="H27" s="95">
        <v>72300</v>
      </c>
      <c r="I27" s="233" t="s">
        <v>36</v>
      </c>
      <c r="J27" s="234"/>
      <c r="K27" s="234"/>
      <c r="L27" s="235"/>
      <c r="M27" s="188">
        <f>SUMIFS(Breakdown!L$33:'Breakdown'!L$51, Breakdown!$F$33:'Breakdown'!$F$51, $H27, Breakdown!$H$33:'Breakdown'!$H$51, $F$25)</f>
        <v>2000</v>
      </c>
      <c r="N27" s="113">
        <f>SUMIFS(Breakdown!M$33:'Breakdown'!M$51, Breakdown!$F$33:'Breakdown'!$F$51, $H27, Breakdown!$H$33:'Breakdown'!$H$51, $F$25)</f>
        <v>177622</v>
      </c>
      <c r="O27" s="113">
        <f>SUMIFS(Breakdown!N$33:'Breakdown'!N$51, Breakdown!$F$33:'Breakdown'!$F$51, $H27, Breakdown!$H$33:'Breakdown'!$H$51, $F$25)</f>
        <v>222000</v>
      </c>
      <c r="P27" s="113">
        <f>SUMIFS(Breakdown!O$33:'Breakdown'!O$51, Breakdown!$F$33:'Breakdown'!$F$51, $H27, Breakdown!$H$33:'Breakdown'!$H$51, $F$25)</f>
        <v>0</v>
      </c>
      <c r="Q27" s="135">
        <f t="shared" si="4"/>
        <v>401622</v>
      </c>
      <c r="R27" s="82">
        <v>21</v>
      </c>
      <c r="S27" s="80" t="s">
        <v>328</v>
      </c>
      <c r="T27" s="79"/>
    </row>
    <row r="28" spans="1:20" ht="42" thickBot="1">
      <c r="A28" s="237"/>
      <c r="B28" s="241"/>
      <c r="C28" s="242"/>
      <c r="D28" s="241"/>
      <c r="E28" s="246"/>
      <c r="F28" s="266"/>
      <c r="G28" s="246"/>
      <c r="H28" s="95">
        <v>74100</v>
      </c>
      <c r="I28" s="233" t="s">
        <v>42</v>
      </c>
      <c r="J28" s="234"/>
      <c r="K28" s="234"/>
      <c r="L28" s="234"/>
      <c r="M28" s="188">
        <f>SUMIFS(Breakdown!L$33:'Breakdown'!L$51, Breakdown!$F$33:'Breakdown'!$F$51, $H28, Breakdown!$H$33:'Breakdown'!$H$51, $F$25)</f>
        <v>2000</v>
      </c>
      <c r="N28" s="113">
        <f>SUMIFS(Breakdown!M$33:'Breakdown'!M$51, Breakdown!$F$33:'Breakdown'!$F$51, $H28, Breakdown!$H$33:'Breakdown'!$H$51, $F$25)</f>
        <v>2000</v>
      </c>
      <c r="O28" s="113">
        <f>SUMIFS(Breakdown!N$33:'Breakdown'!N$51, Breakdown!$F$33:'Breakdown'!$F$51, $H28, Breakdown!$H$33:'Breakdown'!$H$51, $F$25)</f>
        <v>0</v>
      </c>
      <c r="P28" s="113">
        <f>SUMIFS(Breakdown!O$33:'Breakdown'!O$51, Breakdown!$F$33:'Breakdown'!$F$51, $H28, Breakdown!$H$33:'Breakdown'!$H$51, $F$25)</f>
        <v>0</v>
      </c>
      <c r="Q28" s="135">
        <f t="shared" si="4"/>
        <v>4000</v>
      </c>
      <c r="R28" s="82">
        <v>22</v>
      </c>
      <c r="S28" s="80" t="s">
        <v>319</v>
      </c>
    </row>
    <row r="29" spans="1:20" ht="16.2" thickBot="1">
      <c r="A29" s="237"/>
      <c r="B29" s="241"/>
      <c r="C29" s="242"/>
      <c r="D29" s="263"/>
      <c r="E29" s="264"/>
      <c r="F29" s="274"/>
      <c r="G29" s="247"/>
      <c r="H29" s="96"/>
      <c r="I29" s="275" t="s">
        <v>84</v>
      </c>
      <c r="J29" s="276"/>
      <c r="K29" s="276"/>
      <c r="L29" s="277"/>
      <c r="M29" s="190">
        <f>SUM(M25:M28)</f>
        <v>21315</v>
      </c>
      <c r="N29" s="117">
        <f t="shared" ref="N29:P29" si="6">SUM(N25:N28)</f>
        <v>197034</v>
      </c>
      <c r="O29" s="117">
        <f t="shared" si="6"/>
        <v>228409</v>
      </c>
      <c r="P29" s="117">
        <f t="shared" si="6"/>
        <v>6312</v>
      </c>
      <c r="Q29" s="142">
        <f t="shared" si="4"/>
        <v>453070</v>
      </c>
      <c r="R29" s="97"/>
      <c r="S29" s="80"/>
    </row>
    <row r="30" spans="1:20" ht="16.2" thickBot="1">
      <c r="A30" s="238"/>
      <c r="B30" s="243"/>
      <c r="C30" s="244"/>
      <c r="D30" s="278"/>
      <c r="E30" s="279"/>
      <c r="F30" s="280"/>
      <c r="G30" s="281"/>
      <c r="H30" s="98"/>
      <c r="I30" s="282" t="s">
        <v>77</v>
      </c>
      <c r="J30" s="283"/>
      <c r="K30" s="283"/>
      <c r="L30" s="284"/>
      <c r="M30" s="190">
        <f>M24+M29</f>
        <v>62440</v>
      </c>
      <c r="N30" s="118">
        <f t="shared" ref="N30:P30" si="7">N24+N29</f>
        <v>472643</v>
      </c>
      <c r="O30" s="118">
        <f t="shared" si="7"/>
        <v>239206</v>
      </c>
      <c r="P30" s="118">
        <f t="shared" si="7"/>
        <v>9609</v>
      </c>
      <c r="Q30" s="139">
        <f>Q24+Q29</f>
        <v>783898</v>
      </c>
      <c r="R30" s="99"/>
      <c r="S30" s="80"/>
    </row>
    <row r="31" spans="1:20" ht="55.8" thickBot="1">
      <c r="A31" s="236" t="s">
        <v>183</v>
      </c>
      <c r="B31" s="239" t="s">
        <v>184</v>
      </c>
      <c r="C31" s="245"/>
      <c r="D31" s="273">
        <v>62000</v>
      </c>
      <c r="E31" s="272"/>
      <c r="F31" s="265" t="s">
        <v>72</v>
      </c>
      <c r="G31" s="245"/>
      <c r="H31" s="82">
        <v>71600</v>
      </c>
      <c r="I31" s="251" t="s">
        <v>18</v>
      </c>
      <c r="J31" s="252"/>
      <c r="K31" s="252"/>
      <c r="L31" s="253"/>
      <c r="M31" s="188">
        <f>SUMIFS(Breakdown!L$53:'Breakdown'!L$66, Breakdown!$F$53:'Breakdown'!$F$66, $H31, Breakdown!$H$53:'Breakdown'!$H$66, $F$31)</f>
        <v>3224</v>
      </c>
      <c r="N31" s="113">
        <f>SUMIFS(Breakdown!M$53:'Breakdown'!M$66, Breakdown!$F$53:'Breakdown'!$F$66, $H31, Breakdown!$H$53:'Breakdown'!$H$66, $F$31)</f>
        <v>3224</v>
      </c>
      <c r="O31" s="113">
        <f>SUMIFS(Breakdown!N$53:'Breakdown'!N$66, Breakdown!$F$53:'Breakdown'!$F$66, $H31, Breakdown!$H$53:'Breakdown'!$H$66, $F$31)</f>
        <v>3224</v>
      </c>
      <c r="P31" s="113">
        <f>SUMIFS(Breakdown!O$53:'Breakdown'!O$66, Breakdown!$F$53:'Breakdown'!$F$66, $H31, Breakdown!$H$53:'Breakdown'!$H$66, $F$31)</f>
        <v>0</v>
      </c>
      <c r="Q31" s="135">
        <f>SUM(M31:P31)</f>
        <v>9672</v>
      </c>
      <c r="R31" s="82">
        <v>23</v>
      </c>
      <c r="S31" s="80" t="s">
        <v>268</v>
      </c>
    </row>
    <row r="32" spans="1:20" ht="97.2" thickBot="1">
      <c r="A32" s="237"/>
      <c r="B32" s="241"/>
      <c r="C32" s="246"/>
      <c r="D32" s="266"/>
      <c r="E32" s="246"/>
      <c r="F32" s="266"/>
      <c r="G32" s="246"/>
      <c r="H32" s="95">
        <v>72100</v>
      </c>
      <c r="I32" s="251" t="s">
        <v>76</v>
      </c>
      <c r="J32" s="252"/>
      <c r="K32" s="252"/>
      <c r="L32" s="253"/>
      <c r="M32" s="188">
        <f>SUMIFS(Breakdown!L$53:'Breakdown'!L$66, Breakdown!$F$53:'Breakdown'!$F$66, $H32, Breakdown!$H$53:'Breakdown'!$H$66, $F$31)</f>
        <v>55000</v>
      </c>
      <c r="N32" s="113">
        <f>SUMIFS(Breakdown!M$53:'Breakdown'!M$66, Breakdown!$F$53:'Breakdown'!$F$66, $H32, Breakdown!$H$53:'Breakdown'!$H$66, $F$31)</f>
        <v>25000</v>
      </c>
      <c r="O32" s="113">
        <f>SUMIFS(Breakdown!N$53:'Breakdown'!N$66, Breakdown!$F$53:'Breakdown'!$F$66, $H32, Breakdown!$H$53:'Breakdown'!$H$66, $F$31)</f>
        <v>50000</v>
      </c>
      <c r="P32" s="113">
        <f>SUMIFS(Breakdown!O$53:'Breakdown'!O$66, Breakdown!$F$53:'Breakdown'!$F$66, $H32, Breakdown!$H$53:'Breakdown'!$H$66, $F$31)</f>
        <v>0</v>
      </c>
      <c r="Q32" s="135">
        <f t="shared" ref="Q32:Q37" si="8">SUM(M32:P32)</f>
        <v>130000</v>
      </c>
      <c r="R32" s="82">
        <v>24</v>
      </c>
      <c r="S32" s="80" t="s">
        <v>321</v>
      </c>
    </row>
    <row r="33" spans="1:19" ht="55.8" thickBot="1">
      <c r="A33" s="237"/>
      <c r="B33" s="241"/>
      <c r="C33" s="246"/>
      <c r="D33" s="266"/>
      <c r="E33" s="246"/>
      <c r="F33" s="266"/>
      <c r="G33" s="246"/>
      <c r="H33" s="23">
        <v>74200</v>
      </c>
      <c r="I33" s="233" t="s">
        <v>38</v>
      </c>
      <c r="J33" s="234"/>
      <c r="K33" s="234"/>
      <c r="L33" s="235"/>
      <c r="M33" s="188">
        <f>SUMIFS(Breakdown!L$53:'Breakdown'!L$66, Breakdown!$F$53:'Breakdown'!$F$66, $H33, Breakdown!$H$53:'Breakdown'!$H$66, $F$31)</f>
        <v>3000</v>
      </c>
      <c r="N33" s="113">
        <f>SUMIFS(Breakdown!M$53:'Breakdown'!M$66, Breakdown!$F$53:'Breakdown'!$F$66, $H33, Breakdown!$H$53:'Breakdown'!$H$66, $F$31)</f>
        <v>3000</v>
      </c>
      <c r="O33" s="113">
        <f>SUMIFS(Breakdown!N$53:'Breakdown'!N$66, Breakdown!$F$53:'Breakdown'!$F$66, $H33, Breakdown!$H$53:'Breakdown'!$H$66, $F$31)</f>
        <v>0</v>
      </c>
      <c r="P33" s="113">
        <f>SUMIFS(Breakdown!O$53:'Breakdown'!O$66, Breakdown!$F$53:'Breakdown'!$F$66, $H33, Breakdown!$H$53:'Breakdown'!$H$66, $F$31)</f>
        <v>3000</v>
      </c>
      <c r="Q33" s="135">
        <f t="shared" si="8"/>
        <v>9000</v>
      </c>
      <c r="R33" s="82">
        <v>25</v>
      </c>
      <c r="S33" s="80" t="s">
        <v>322</v>
      </c>
    </row>
    <row r="34" spans="1:19" ht="55.8" thickBot="1">
      <c r="A34" s="237"/>
      <c r="B34" s="241"/>
      <c r="C34" s="246"/>
      <c r="D34" s="266"/>
      <c r="E34" s="246"/>
      <c r="F34" s="266"/>
      <c r="G34" s="246"/>
      <c r="H34" s="82">
        <v>75700</v>
      </c>
      <c r="I34" s="251" t="s">
        <v>78</v>
      </c>
      <c r="J34" s="252"/>
      <c r="K34" s="252"/>
      <c r="L34" s="253"/>
      <c r="M34" s="188">
        <f>SUMIFS(Breakdown!L$53:'Breakdown'!L$66, Breakdown!$F$53:'Breakdown'!$F$66, $H34, Breakdown!$H$53:'Breakdown'!$H$66, $F$31)</f>
        <v>5000</v>
      </c>
      <c r="N34" s="113">
        <f>SUMIFS(Breakdown!M$53:'Breakdown'!M$66, Breakdown!$F$53:'Breakdown'!$F$66, $H34, Breakdown!$H$53:'Breakdown'!$H$66, $F$31)</f>
        <v>5000</v>
      </c>
      <c r="O34" s="113">
        <f>SUMIFS(Breakdown!N$53:'Breakdown'!N$66, Breakdown!$F$53:'Breakdown'!$F$66, $H34, Breakdown!$H$53:'Breakdown'!$H$66, $F$31)</f>
        <v>5000</v>
      </c>
      <c r="P34" s="113">
        <f>SUMIFS(Breakdown!O$53:'Breakdown'!O$66, Breakdown!$F$53:'Breakdown'!$F$66, $H34, Breakdown!$H$53:'Breakdown'!$H$66, $F$31)</f>
        <v>2500</v>
      </c>
      <c r="Q34" s="135">
        <f t="shared" si="8"/>
        <v>17500</v>
      </c>
      <c r="R34" s="82">
        <v>26</v>
      </c>
      <c r="S34" s="80" t="s">
        <v>323</v>
      </c>
    </row>
    <row r="35" spans="1:19" ht="16.2" thickBot="1">
      <c r="A35" s="237"/>
      <c r="B35" s="241"/>
      <c r="C35" s="246"/>
      <c r="D35" s="267"/>
      <c r="E35" s="264"/>
      <c r="F35" s="267"/>
      <c r="G35" s="264"/>
      <c r="H35" s="88"/>
      <c r="I35" s="254" t="s">
        <v>73</v>
      </c>
      <c r="J35" s="255"/>
      <c r="K35" s="255"/>
      <c r="L35" s="256"/>
      <c r="M35" s="189">
        <f>SUM(M31:M34)</f>
        <v>66224</v>
      </c>
      <c r="N35" s="114">
        <f t="shared" ref="N35:P35" si="9">SUM(N31:N34)</f>
        <v>36224</v>
      </c>
      <c r="O35" s="114">
        <f t="shared" si="9"/>
        <v>58224</v>
      </c>
      <c r="P35" s="114">
        <f t="shared" si="9"/>
        <v>5500</v>
      </c>
      <c r="Q35" s="143">
        <f t="shared" si="8"/>
        <v>166172</v>
      </c>
      <c r="R35" s="88"/>
      <c r="S35" s="80"/>
    </row>
    <row r="36" spans="1:19" ht="55.8" thickBot="1">
      <c r="A36" s="237"/>
      <c r="B36" s="241"/>
      <c r="C36" s="246"/>
      <c r="D36" s="273">
        <v>4000</v>
      </c>
      <c r="E36" s="272"/>
      <c r="F36" s="273" t="s">
        <v>32</v>
      </c>
      <c r="G36" s="272"/>
      <c r="H36" s="82">
        <v>72100</v>
      </c>
      <c r="I36" s="251" t="s">
        <v>76</v>
      </c>
      <c r="J36" s="252"/>
      <c r="K36" s="252"/>
      <c r="L36" s="253"/>
      <c r="M36" s="188">
        <f>SUMIFS(Breakdown!L$53:'Breakdown'!L$66, Breakdown!$F$53:'Breakdown'!$F$66, $H36, Breakdown!$H$53:'Breakdown'!$H$66, $F$36)</f>
        <v>0</v>
      </c>
      <c r="N36" s="113">
        <f>SUMIFS(Breakdown!M$53:'Breakdown'!M$66, Breakdown!$F$53:'Breakdown'!$F$66, $H36, Breakdown!$H$53:'Breakdown'!$H$66, $F$36)</f>
        <v>0</v>
      </c>
      <c r="O36" s="113">
        <f>SUMIFS(Breakdown!N$53:'Breakdown'!N$66, Breakdown!$F$53:'Breakdown'!$F$66, $H36, Breakdown!$H$53:'Breakdown'!$H$66, $F$36)</f>
        <v>20000</v>
      </c>
      <c r="P36" s="113">
        <f>SUMIFS(Breakdown!O$53:'Breakdown'!O$66, Breakdown!$F$53:'Breakdown'!$F$66, $H36, Breakdown!$H$53:'Breakdown'!$H$66, $F$36)</f>
        <v>20000</v>
      </c>
      <c r="Q36" s="135">
        <f t="shared" si="8"/>
        <v>40000</v>
      </c>
      <c r="R36" s="82">
        <v>27</v>
      </c>
      <c r="S36" s="80" t="s">
        <v>269</v>
      </c>
    </row>
    <row r="37" spans="1:19" ht="16.2" thickBot="1">
      <c r="A37" s="237"/>
      <c r="B37" s="241"/>
      <c r="C37" s="246"/>
      <c r="D37" s="267"/>
      <c r="E37" s="264"/>
      <c r="F37" s="267"/>
      <c r="G37" s="264"/>
      <c r="H37" s="89"/>
      <c r="I37" s="275" t="s">
        <v>84</v>
      </c>
      <c r="J37" s="276"/>
      <c r="K37" s="276"/>
      <c r="L37" s="286"/>
      <c r="M37" s="189">
        <f>SUM(M36)</f>
        <v>0</v>
      </c>
      <c r="N37" s="115">
        <f t="shared" ref="N37:P37" si="10">SUM(N36)</f>
        <v>0</v>
      </c>
      <c r="O37" s="115">
        <f t="shared" si="10"/>
        <v>20000</v>
      </c>
      <c r="P37" s="115">
        <f t="shared" si="10"/>
        <v>20000</v>
      </c>
      <c r="Q37" s="142">
        <f t="shared" si="8"/>
        <v>40000</v>
      </c>
      <c r="R37" s="100"/>
      <c r="S37" s="80"/>
    </row>
    <row r="38" spans="1:19" ht="16.2" thickBot="1">
      <c r="A38" s="285"/>
      <c r="B38" s="243"/>
      <c r="C38" s="247"/>
      <c r="D38" s="290"/>
      <c r="E38" s="291"/>
      <c r="F38" s="290"/>
      <c r="G38" s="291"/>
      <c r="H38" s="101"/>
      <c r="I38" s="282" t="s">
        <v>114</v>
      </c>
      <c r="J38" s="283"/>
      <c r="K38" s="283"/>
      <c r="L38" s="279"/>
      <c r="M38" s="189">
        <f>M35+M37</f>
        <v>66224</v>
      </c>
      <c r="N38" s="116">
        <f t="shared" ref="N38:Q38" si="11">N35+N37</f>
        <v>36224</v>
      </c>
      <c r="O38" s="116">
        <f t="shared" si="11"/>
        <v>78224</v>
      </c>
      <c r="P38" s="116">
        <f t="shared" si="11"/>
        <v>25500</v>
      </c>
      <c r="Q38" s="139">
        <f t="shared" si="11"/>
        <v>206172</v>
      </c>
      <c r="R38" s="101"/>
      <c r="S38" s="80"/>
    </row>
    <row r="39" spans="1:19" ht="69.599999999999994" thickBot="1">
      <c r="A39" s="287" t="s">
        <v>185</v>
      </c>
      <c r="B39" s="265" t="s">
        <v>60</v>
      </c>
      <c r="C39" s="245"/>
      <c r="D39" s="273">
        <v>62000</v>
      </c>
      <c r="E39" s="272"/>
      <c r="F39" s="273" t="s">
        <v>72</v>
      </c>
      <c r="G39" s="272"/>
      <c r="H39" s="86">
        <v>71200</v>
      </c>
      <c r="I39" s="233" t="s">
        <v>75</v>
      </c>
      <c r="J39" s="234"/>
      <c r="K39" s="234"/>
      <c r="L39" s="235"/>
      <c r="M39" s="188">
        <f>SUMIFS(Breakdown!L$68:'Breakdown'!L$95, Breakdown!$F$68:'Breakdown'!$F$95, $H39, Breakdown!$H$68:'Breakdown'!$H$95, $F$39)</f>
        <v>14000</v>
      </c>
      <c r="N39" s="113">
        <f>SUMIFS(Breakdown!M$68:'Breakdown'!M$95, Breakdown!$F$68:'Breakdown'!$F$95, $H39, Breakdown!$H$68:'Breakdown'!$H$95, $F$39)</f>
        <v>0</v>
      </c>
      <c r="O39" s="113">
        <f>SUMIFS(Breakdown!N$68:'Breakdown'!N$95, Breakdown!$F$68:'Breakdown'!$F$95, $H39, Breakdown!$H$68:'Breakdown'!$H$95, $F$39)</f>
        <v>0</v>
      </c>
      <c r="P39" s="113">
        <f>SUMIFS(Breakdown!O$68:'Breakdown'!O$95, Breakdown!$F$68:'Breakdown'!$F$95, $H39, Breakdown!$H$68:'Breakdown'!$H$95, $F$39)</f>
        <v>7000</v>
      </c>
      <c r="Q39" s="135">
        <f t="shared" ref="Q39:Q51" si="12">SUM(M39:P39)</f>
        <v>21000</v>
      </c>
      <c r="R39" s="82">
        <v>28</v>
      </c>
      <c r="S39" s="80" t="s">
        <v>330</v>
      </c>
    </row>
    <row r="40" spans="1:19" ht="55.8" thickBot="1">
      <c r="A40" s="288"/>
      <c r="B40" s="266"/>
      <c r="C40" s="246"/>
      <c r="D40" s="266"/>
      <c r="E40" s="246"/>
      <c r="F40" s="266"/>
      <c r="G40" s="246"/>
      <c r="H40" s="85">
        <v>71300</v>
      </c>
      <c r="I40" s="251" t="s">
        <v>34</v>
      </c>
      <c r="J40" s="252"/>
      <c r="K40" s="252"/>
      <c r="L40" s="253"/>
      <c r="M40" s="188">
        <f>SUMIFS(Breakdown!L$68:'Breakdown'!L$95, Breakdown!$F$68:'Breakdown'!$F$95, $H40, Breakdown!$H$68:'Breakdown'!$H$95, $F$39)</f>
        <v>3000</v>
      </c>
      <c r="N40" s="113">
        <f>SUMIFS(Breakdown!M$68:'Breakdown'!M$95, Breakdown!$F$68:'Breakdown'!$F$95, $H40, Breakdown!$H$68:'Breakdown'!$H$95, $F$39)</f>
        <v>15000</v>
      </c>
      <c r="O40" s="113">
        <f>SUMIFS(Breakdown!N$68:'Breakdown'!N$95, Breakdown!$F$68:'Breakdown'!$F$95, $H40, Breakdown!$H$68:'Breakdown'!$H$95, $F$39)</f>
        <v>0</v>
      </c>
      <c r="P40" s="113">
        <f>SUMIFS(Breakdown!O$68:'Breakdown'!O$95, Breakdown!$F$68:'Breakdown'!$F$95, $H40, Breakdown!$H$68:'Breakdown'!$H$95, $F$39)</f>
        <v>18000</v>
      </c>
      <c r="Q40" s="135">
        <f t="shared" si="12"/>
        <v>36000</v>
      </c>
      <c r="R40" s="82">
        <v>29</v>
      </c>
      <c r="S40" s="80" t="s">
        <v>329</v>
      </c>
    </row>
    <row r="41" spans="1:19" ht="166.2" thickBot="1">
      <c r="A41" s="288"/>
      <c r="B41" s="266"/>
      <c r="C41" s="246"/>
      <c r="D41" s="266"/>
      <c r="E41" s="246"/>
      <c r="F41" s="266"/>
      <c r="G41" s="246"/>
      <c r="H41" s="102">
        <v>71600</v>
      </c>
      <c r="I41" s="233" t="s">
        <v>18</v>
      </c>
      <c r="J41" s="234"/>
      <c r="K41" s="234"/>
      <c r="L41" s="235"/>
      <c r="M41" s="188">
        <f>SUMIFS(Breakdown!L$68:'Breakdown'!L$95, Breakdown!$F$68:'Breakdown'!$F$95, $H41, Breakdown!$H$68:'Breakdown'!$H$95, $F$39)</f>
        <v>7610</v>
      </c>
      <c r="N41" s="113">
        <f>SUMIFS(Breakdown!M$68:'Breakdown'!M$95, Breakdown!$F$68:'Breakdown'!$F$95, $H41, Breakdown!$H$68:'Breakdown'!$H$95, $F$39)</f>
        <v>16344</v>
      </c>
      <c r="O41" s="113">
        <f>SUMIFS(Breakdown!N$68:'Breakdown'!N$95, Breakdown!$F$68:'Breakdown'!$F$95, $H41, Breakdown!$H$68:'Breakdown'!$H$95, $F$39)</f>
        <v>0</v>
      </c>
      <c r="P41" s="113">
        <f>SUMIFS(Breakdown!O$68:'Breakdown'!O$95, Breakdown!$F$68:'Breakdown'!$F$95, $H41, Breakdown!$H$68:'Breakdown'!$H$95, $F$39)</f>
        <v>1500</v>
      </c>
      <c r="Q41" s="135">
        <f t="shared" si="12"/>
        <v>25454</v>
      </c>
      <c r="R41" s="82">
        <v>30</v>
      </c>
      <c r="S41" s="80" t="s">
        <v>331</v>
      </c>
    </row>
    <row r="42" spans="1:19" ht="138.6" thickBot="1">
      <c r="A42" s="288"/>
      <c r="B42" s="266"/>
      <c r="C42" s="246"/>
      <c r="D42" s="266"/>
      <c r="E42" s="246"/>
      <c r="F42" s="266"/>
      <c r="G42" s="246"/>
      <c r="H42" s="103">
        <v>72100</v>
      </c>
      <c r="I42" s="251" t="s">
        <v>76</v>
      </c>
      <c r="J42" s="252"/>
      <c r="K42" s="252"/>
      <c r="L42" s="253"/>
      <c r="M42" s="188">
        <f>SUMIFS(Breakdown!L$68:'Breakdown'!L$95, Breakdown!$F$68:'Breakdown'!$F$95, $H42, Breakdown!$H$68:'Breakdown'!$H$95, $F$39)</f>
        <v>48500</v>
      </c>
      <c r="N42" s="113">
        <f>SUMIFS(Breakdown!M$68:'Breakdown'!M$95, Breakdown!$F$68:'Breakdown'!$F$95, $H42, Breakdown!$H$68:'Breakdown'!$H$95, $F$39)</f>
        <v>18500</v>
      </c>
      <c r="O42" s="113">
        <f>SUMIFS(Breakdown!N$68:'Breakdown'!N$95, Breakdown!$F$68:'Breakdown'!$F$95, $H42, Breakdown!$H$68:'Breakdown'!$H$95, $F$39)</f>
        <v>0</v>
      </c>
      <c r="P42" s="113">
        <f>SUMIFS(Breakdown!O$68:'Breakdown'!O$95, Breakdown!$F$68:'Breakdown'!$F$95, $H42, Breakdown!$H$68:'Breakdown'!$H$95, $F$39)</f>
        <v>10000</v>
      </c>
      <c r="Q42" s="135">
        <f t="shared" si="12"/>
        <v>77000</v>
      </c>
      <c r="R42" s="82">
        <v>31</v>
      </c>
      <c r="S42" s="80" t="s">
        <v>277</v>
      </c>
    </row>
    <row r="43" spans="1:19" ht="55.8" thickBot="1">
      <c r="A43" s="288"/>
      <c r="B43" s="266"/>
      <c r="C43" s="246"/>
      <c r="D43" s="266"/>
      <c r="E43" s="246"/>
      <c r="F43" s="266"/>
      <c r="G43" s="246"/>
      <c r="H43" s="95">
        <v>74200</v>
      </c>
      <c r="I43" s="233" t="s">
        <v>38</v>
      </c>
      <c r="J43" s="234"/>
      <c r="K43" s="234"/>
      <c r="L43" s="235"/>
      <c r="M43" s="188">
        <f>SUMIFS(Breakdown!L$68:'Breakdown'!L$95, Breakdown!$F$68:'Breakdown'!$F$95, $H43, Breakdown!$H$68:'Breakdown'!$H$95, $F$39)</f>
        <v>0</v>
      </c>
      <c r="N43" s="113">
        <f>SUMIFS(Breakdown!M$68:'Breakdown'!M$95, Breakdown!$F$68:'Breakdown'!$F$95, $H43, Breakdown!$H$68:'Breakdown'!$H$95, $F$39)</f>
        <v>2500</v>
      </c>
      <c r="O43" s="113">
        <f>SUMIFS(Breakdown!N$68:'Breakdown'!N$95, Breakdown!$F$68:'Breakdown'!$F$95, $H43, Breakdown!$H$68:'Breakdown'!$H$95, $F$39)</f>
        <v>0</v>
      </c>
      <c r="P43" s="113">
        <f>SUMIFS(Breakdown!O$68:'Breakdown'!O$95, Breakdown!$F$68:'Breakdown'!$F$95, $H43, Breakdown!$H$68:'Breakdown'!$H$95, $F$39)</f>
        <v>5500</v>
      </c>
      <c r="Q43" s="135">
        <f t="shared" si="12"/>
        <v>8000</v>
      </c>
      <c r="R43" s="82">
        <v>32</v>
      </c>
      <c r="S43" s="80" t="s">
        <v>278</v>
      </c>
    </row>
    <row r="44" spans="1:19" ht="69.599999999999994" thickBot="1">
      <c r="A44" s="288"/>
      <c r="B44" s="266"/>
      <c r="C44" s="246"/>
      <c r="D44" s="266"/>
      <c r="E44" s="246"/>
      <c r="F44" s="266"/>
      <c r="G44" s="246"/>
      <c r="H44" s="82">
        <v>75700</v>
      </c>
      <c r="I44" s="251" t="s">
        <v>78</v>
      </c>
      <c r="J44" s="252"/>
      <c r="K44" s="252"/>
      <c r="L44" s="253"/>
      <c r="M44" s="188">
        <f>SUMIFS(Breakdown!L$68:'Breakdown'!L$95, Breakdown!$F$68:'Breakdown'!$F$95, $H44, Breakdown!$H$68:'Breakdown'!$H$95, $F$39)</f>
        <v>6500</v>
      </c>
      <c r="N44" s="113">
        <f>SUMIFS(Breakdown!M$68:'Breakdown'!M$95, Breakdown!$F$68:'Breakdown'!$F$95, $H44, Breakdown!$H$68:'Breakdown'!$H$95, $F$39)</f>
        <v>5000</v>
      </c>
      <c r="O44" s="113">
        <f>SUMIFS(Breakdown!N$68:'Breakdown'!N$95, Breakdown!$F$68:'Breakdown'!$F$95, $H44, Breakdown!$H$68:'Breakdown'!$H$95, $F$39)</f>
        <v>0</v>
      </c>
      <c r="P44" s="113">
        <f>SUMIFS(Breakdown!O$68:'Breakdown'!O$95, Breakdown!$F$68:'Breakdown'!$F$95, $H44, Breakdown!$H$68:'Breakdown'!$H$95, $F$39)</f>
        <v>0</v>
      </c>
      <c r="Q44" s="135">
        <f t="shared" si="12"/>
        <v>11500</v>
      </c>
      <c r="R44" s="82">
        <v>33</v>
      </c>
      <c r="S44" s="80" t="s">
        <v>276</v>
      </c>
    </row>
    <row r="45" spans="1:19" ht="16.2" thickBot="1">
      <c r="A45" s="288"/>
      <c r="B45" s="266"/>
      <c r="C45" s="246"/>
      <c r="D45" s="267"/>
      <c r="E45" s="264"/>
      <c r="F45" s="267"/>
      <c r="G45" s="264"/>
      <c r="H45" s="105"/>
      <c r="I45" s="254" t="s">
        <v>73</v>
      </c>
      <c r="J45" s="255"/>
      <c r="K45" s="255"/>
      <c r="L45" s="256"/>
      <c r="M45" s="189">
        <f>SUM(M39:M44)</f>
        <v>79610</v>
      </c>
      <c r="N45" s="114">
        <f t="shared" ref="N45:Q45" si="13">SUM(N39:N44)</f>
        <v>57344</v>
      </c>
      <c r="O45" s="114">
        <f t="shared" si="13"/>
        <v>0</v>
      </c>
      <c r="P45" s="114">
        <f t="shared" si="13"/>
        <v>42000</v>
      </c>
      <c r="Q45" s="114">
        <f t="shared" si="13"/>
        <v>178954</v>
      </c>
      <c r="R45" s="146"/>
      <c r="S45" s="80"/>
    </row>
    <row r="46" spans="1:19" ht="28.2" thickBot="1">
      <c r="A46" s="288"/>
      <c r="B46" s="266"/>
      <c r="C46" s="246"/>
      <c r="D46" s="273">
        <v>4000</v>
      </c>
      <c r="E46" s="272"/>
      <c r="F46" s="273" t="s">
        <v>32</v>
      </c>
      <c r="G46" s="272"/>
      <c r="H46" s="86">
        <v>71200</v>
      </c>
      <c r="I46" s="233" t="s">
        <v>75</v>
      </c>
      <c r="J46" s="234"/>
      <c r="K46" s="234"/>
      <c r="L46" s="235"/>
      <c r="M46" s="188">
        <f>SUMIFS(Breakdown!L$68:'Breakdown'!L$95, Breakdown!$F$68:'Breakdown'!$F$95, $H46, Breakdown!$H$68:'Breakdown'!$H$95, $F$46)</f>
        <v>0</v>
      </c>
      <c r="N46" s="113">
        <f>SUMIFS(Breakdown!M$68:'Breakdown'!M$95, Breakdown!$F$68:'Breakdown'!$F$95, $H46, Breakdown!$H$68:'Breakdown'!$H$95, $F$46)</f>
        <v>35000</v>
      </c>
      <c r="O46" s="113">
        <f>SUMIFS(Breakdown!N$68:'Breakdown'!N$95, Breakdown!$F$68:'Breakdown'!$F$95, $H46, Breakdown!$H$68:'Breakdown'!$H$95, $F$46)</f>
        <v>0</v>
      </c>
      <c r="P46" s="113">
        <f>SUMIFS(Breakdown!O$68:'Breakdown'!O$95, Breakdown!$F$68:'Breakdown'!$F$95, $H46, Breakdown!$H$68:'Breakdown'!$H$95, $F$46)</f>
        <v>35000</v>
      </c>
      <c r="Q46" s="135">
        <f t="shared" si="12"/>
        <v>70000</v>
      </c>
      <c r="R46" s="82">
        <v>34</v>
      </c>
      <c r="S46" s="80" t="s">
        <v>271</v>
      </c>
    </row>
    <row r="47" spans="1:19" ht="42" thickBot="1">
      <c r="A47" s="288"/>
      <c r="B47" s="266"/>
      <c r="C47" s="246"/>
      <c r="D47" s="266"/>
      <c r="E47" s="246"/>
      <c r="F47" s="266"/>
      <c r="G47" s="246"/>
      <c r="H47" s="95">
        <v>71300</v>
      </c>
      <c r="I47" s="233" t="s">
        <v>34</v>
      </c>
      <c r="J47" s="234"/>
      <c r="K47" s="234"/>
      <c r="L47" s="235"/>
      <c r="M47" s="188">
        <f>SUMIFS(Breakdown!L$68:'Breakdown'!L$95, Breakdown!$F$68:'Breakdown'!$F$95, $H47, Breakdown!$H$68:'Breakdown'!$H$95, $F$46)</f>
        <v>4500</v>
      </c>
      <c r="N47" s="113">
        <f>SUMIFS(Breakdown!M$68:'Breakdown'!M$95, Breakdown!$F$68:'Breakdown'!$F$95, $H47, Breakdown!$H$68:'Breakdown'!$H$95, $F$46)</f>
        <v>1500</v>
      </c>
      <c r="O47" s="113">
        <f>SUMIFS(Breakdown!N$68:'Breakdown'!N$95, Breakdown!$F$68:'Breakdown'!$F$95, $H47, Breakdown!$H$68:'Breakdown'!$H$95, $F$46)</f>
        <v>0</v>
      </c>
      <c r="P47" s="113">
        <f>SUMIFS(Breakdown!O$68:'Breakdown'!O$95, Breakdown!$F$68:'Breakdown'!$F$95, $H47, Breakdown!$H$68:'Breakdown'!$H$95, $F$46)</f>
        <v>0</v>
      </c>
      <c r="Q47" s="135">
        <f t="shared" si="12"/>
        <v>6000</v>
      </c>
      <c r="R47" s="82">
        <v>35</v>
      </c>
      <c r="S47" s="80" t="s">
        <v>275</v>
      </c>
    </row>
    <row r="48" spans="1:19" ht="28.2" thickBot="1">
      <c r="A48" s="288"/>
      <c r="B48" s="266"/>
      <c r="C48" s="246"/>
      <c r="D48" s="266"/>
      <c r="E48" s="246"/>
      <c r="F48" s="266"/>
      <c r="G48" s="246"/>
      <c r="H48" s="95">
        <v>71600</v>
      </c>
      <c r="I48" s="233" t="s">
        <v>18</v>
      </c>
      <c r="J48" s="234"/>
      <c r="K48" s="234"/>
      <c r="L48" s="235"/>
      <c r="M48" s="188">
        <f>SUMIFS(Breakdown!L$68:'Breakdown'!L$95, Breakdown!$F$68:'Breakdown'!$F$95, $H48, Breakdown!$H$68:'Breakdown'!$H$95, $F$46)</f>
        <v>5000</v>
      </c>
      <c r="N48" s="113">
        <f>SUMIFS(Breakdown!M$68:'Breakdown'!M$95, Breakdown!$F$68:'Breakdown'!$F$95, $H48, Breakdown!$H$68:'Breakdown'!$H$95, $F$46)</f>
        <v>5000</v>
      </c>
      <c r="O48" s="113">
        <f>SUMIFS(Breakdown!N$68:'Breakdown'!N$95, Breakdown!$F$68:'Breakdown'!$F$95, $H48, Breakdown!$H$68:'Breakdown'!$H$95, $F$46)</f>
        <v>5000</v>
      </c>
      <c r="P48" s="113">
        <f>SUMIFS(Breakdown!O$68:'Breakdown'!O$95, Breakdown!$F$68:'Breakdown'!$F$95, $H48, Breakdown!$H$68:'Breakdown'!$H$95, $F$46)</f>
        <v>5000</v>
      </c>
      <c r="Q48" s="135">
        <f t="shared" si="12"/>
        <v>20000</v>
      </c>
      <c r="R48" s="82">
        <v>36</v>
      </c>
      <c r="S48" s="80" t="s">
        <v>272</v>
      </c>
    </row>
    <row r="49" spans="1:19" ht="28.2" thickBot="1">
      <c r="A49" s="288"/>
      <c r="B49" s="266"/>
      <c r="C49" s="246"/>
      <c r="D49" s="266"/>
      <c r="E49" s="246"/>
      <c r="F49" s="266"/>
      <c r="G49" s="246"/>
      <c r="H49" s="95">
        <v>72300</v>
      </c>
      <c r="I49" s="233" t="s">
        <v>36</v>
      </c>
      <c r="J49" s="234"/>
      <c r="K49" s="234"/>
      <c r="L49" s="235"/>
      <c r="M49" s="188">
        <f>SUMIFS(Breakdown!L$68:'Breakdown'!L$95, Breakdown!$F$68:'Breakdown'!$F$95, $H49, Breakdown!$H$68:'Breakdown'!$H$95, $F$46)</f>
        <v>55000</v>
      </c>
      <c r="N49" s="113">
        <f>SUMIFS(Breakdown!M$68:'Breakdown'!M$95, Breakdown!$F$68:'Breakdown'!$F$95, $H49, Breakdown!$H$68:'Breakdown'!$H$95, $F$46)</f>
        <v>0</v>
      </c>
      <c r="O49" s="113">
        <f>SUMIFS(Breakdown!N$68:'Breakdown'!N$95, Breakdown!$F$68:'Breakdown'!$F$95, $H49, Breakdown!$H$68:'Breakdown'!$H$95, $F$46)</f>
        <v>0</v>
      </c>
      <c r="P49" s="113">
        <f>SUMIFS(Breakdown!O$68:'Breakdown'!O$95, Breakdown!$F$68:'Breakdown'!$F$95, $H49, Breakdown!$H$68:'Breakdown'!$H$95, $F$46)</f>
        <v>0</v>
      </c>
      <c r="Q49" s="135">
        <f t="shared" si="12"/>
        <v>55000</v>
      </c>
      <c r="R49" s="82">
        <v>37</v>
      </c>
      <c r="S49" s="80" t="s">
        <v>273</v>
      </c>
    </row>
    <row r="50" spans="1:19" ht="42" thickBot="1">
      <c r="A50" s="288"/>
      <c r="B50" s="266"/>
      <c r="C50" s="246"/>
      <c r="D50" s="266"/>
      <c r="E50" s="246"/>
      <c r="F50" s="266"/>
      <c r="G50" s="246"/>
      <c r="H50" s="95">
        <v>74200</v>
      </c>
      <c r="I50" s="233" t="s">
        <v>38</v>
      </c>
      <c r="J50" s="234"/>
      <c r="K50" s="234"/>
      <c r="L50" s="235"/>
      <c r="M50" s="188">
        <f>SUMIFS(Breakdown!L$68:'Breakdown'!L$95, Breakdown!$F$68:'Breakdown'!$F$95, $H50, Breakdown!$H$68:'Breakdown'!$H$95, $F$46)</f>
        <v>0</v>
      </c>
      <c r="N50" s="113">
        <f>SUMIFS(Breakdown!M$68:'Breakdown'!M$95, Breakdown!$F$68:'Breakdown'!$F$95, $H50, Breakdown!$H$68:'Breakdown'!$H$95, $F$46)</f>
        <v>5000</v>
      </c>
      <c r="O50" s="113">
        <f>SUMIFS(Breakdown!N$68:'Breakdown'!N$95, Breakdown!$F$68:'Breakdown'!$F$95, $H50, Breakdown!$H$68:'Breakdown'!$H$95, $F$46)</f>
        <v>0</v>
      </c>
      <c r="P50" s="113">
        <f>SUMIFS(Breakdown!O$68:'Breakdown'!O$95, Breakdown!$F$68:'Breakdown'!$F$95, $H50, Breakdown!$H$68:'Breakdown'!$H$95, $F$46)</f>
        <v>5000</v>
      </c>
      <c r="Q50" s="135">
        <f t="shared" si="12"/>
        <v>10000</v>
      </c>
      <c r="R50" s="82">
        <v>38</v>
      </c>
      <c r="S50" s="80" t="s">
        <v>274</v>
      </c>
    </row>
    <row r="51" spans="1:19" ht="111" thickBot="1">
      <c r="A51" s="288"/>
      <c r="B51" s="266"/>
      <c r="C51" s="246"/>
      <c r="D51" s="266"/>
      <c r="E51" s="246"/>
      <c r="F51" s="266"/>
      <c r="G51" s="246"/>
      <c r="H51" s="104">
        <v>75700</v>
      </c>
      <c r="I51" s="233" t="s">
        <v>181</v>
      </c>
      <c r="J51" s="234"/>
      <c r="K51" s="234"/>
      <c r="L51" s="235"/>
      <c r="M51" s="188">
        <f>SUMIFS(Breakdown!L$68:'Breakdown'!L$95, Breakdown!$F$68:'Breakdown'!$F$95, $H51, Breakdown!$H$68:'Breakdown'!$H$95, $F$46)</f>
        <v>5000</v>
      </c>
      <c r="N51" s="113">
        <f>SUMIFS(Breakdown!M$68:'Breakdown'!M$95, Breakdown!$F$68:'Breakdown'!$F$95, $H51, Breakdown!$H$68:'Breakdown'!$H$95, $F$46)</f>
        <v>0</v>
      </c>
      <c r="O51" s="113">
        <f>SUMIFS(Breakdown!N$68:'Breakdown'!N$95, Breakdown!$F$68:'Breakdown'!$F$95, $H51, Breakdown!$H$68:'Breakdown'!$H$95, $F$46)</f>
        <v>0</v>
      </c>
      <c r="P51" s="113">
        <f>SUMIFS(Breakdown!O$68:'Breakdown'!O$95, Breakdown!$F$68:'Breakdown'!$F$95, $H51, Breakdown!$H$68:'Breakdown'!$H$95, $F$46)</f>
        <v>0</v>
      </c>
      <c r="Q51" s="135">
        <f t="shared" si="12"/>
        <v>5000</v>
      </c>
      <c r="R51" s="82">
        <v>39</v>
      </c>
      <c r="S51" s="80" t="s">
        <v>270</v>
      </c>
    </row>
    <row r="52" spans="1:19" ht="16.2" thickBot="1">
      <c r="A52" s="288"/>
      <c r="B52" s="266"/>
      <c r="C52" s="246"/>
      <c r="D52" s="267"/>
      <c r="E52" s="264"/>
      <c r="F52" s="267"/>
      <c r="G52" s="264"/>
      <c r="H52" s="106"/>
      <c r="I52" s="292" t="s">
        <v>84</v>
      </c>
      <c r="J52" s="293"/>
      <c r="K52" s="293"/>
      <c r="L52" s="294"/>
      <c r="M52" s="191">
        <f>SUM(M46:M51)</f>
        <v>69500</v>
      </c>
      <c r="N52" s="119">
        <f t="shared" ref="N52:P52" si="14">SUM(N46:N51)</f>
        <v>46500</v>
      </c>
      <c r="O52" s="119">
        <f t="shared" si="14"/>
        <v>5000</v>
      </c>
      <c r="P52" s="119">
        <f t="shared" si="14"/>
        <v>45000</v>
      </c>
      <c r="Q52" s="138">
        <f>SUM(M52:P52)</f>
        <v>166000</v>
      </c>
      <c r="R52" s="97"/>
      <c r="S52" s="80"/>
    </row>
    <row r="53" spans="1:19" ht="16.2" thickBot="1">
      <c r="A53" s="289"/>
      <c r="B53" s="267"/>
      <c r="C53" s="264"/>
      <c r="D53" s="282"/>
      <c r="E53" s="284"/>
      <c r="F53" s="278"/>
      <c r="G53" s="279"/>
      <c r="H53" s="107"/>
      <c r="I53" s="280" t="s">
        <v>115</v>
      </c>
      <c r="J53" s="295"/>
      <c r="K53" s="295"/>
      <c r="L53" s="296"/>
      <c r="M53" s="192">
        <f>M45+M52</f>
        <v>149110</v>
      </c>
      <c r="N53" s="120">
        <f t="shared" ref="N53:Q53" si="15">N45+N52</f>
        <v>103844</v>
      </c>
      <c r="O53" s="120">
        <f t="shared" si="15"/>
        <v>5000</v>
      </c>
      <c r="P53" s="120">
        <f t="shared" si="15"/>
        <v>87000</v>
      </c>
      <c r="Q53" s="120">
        <f t="shared" si="15"/>
        <v>344954</v>
      </c>
      <c r="R53" s="144"/>
      <c r="S53" s="80"/>
    </row>
    <row r="54" spans="1:19" ht="16.2" thickBot="1">
      <c r="A54" s="306" t="s">
        <v>186</v>
      </c>
      <c r="B54" s="273" t="s">
        <v>60</v>
      </c>
      <c r="C54" s="272"/>
      <c r="D54" s="273">
        <v>62000</v>
      </c>
      <c r="E54" s="272"/>
      <c r="F54" s="273" t="s">
        <v>72</v>
      </c>
      <c r="G54" s="272"/>
      <c r="H54" s="108">
        <v>71300</v>
      </c>
      <c r="I54" s="309" t="s">
        <v>34</v>
      </c>
      <c r="J54" s="310"/>
      <c r="K54" s="310"/>
      <c r="L54" s="311"/>
      <c r="M54" s="188">
        <f>SUMIFS(Breakdown!L$98:'Breakdown'!L$103, Breakdown!$F$98:'Breakdown'!$F$103, $H54, Breakdown!$H$98:'Breakdown'!$H$103, $F$54)</f>
        <v>16596</v>
      </c>
      <c r="N54" s="113">
        <f>SUMIFS(Breakdown!M$98:'Breakdown'!M$103, Breakdown!$F$98:'Breakdown'!$F$103, $H54, Breakdown!$H$98:'Breakdown'!$H$103, $F$54)</f>
        <v>16596</v>
      </c>
      <c r="O54" s="113">
        <f>SUMIFS(Breakdown!N$98:'Breakdown'!N$103, Breakdown!$F$98:'Breakdown'!$F$103, $H54, Breakdown!$H$98:'Breakdown'!$H$103, $F$54)</f>
        <v>16596</v>
      </c>
      <c r="P54" s="113">
        <f>SUMIFS(Breakdown!O$98:'Breakdown'!O$103, Breakdown!$F$98:'Breakdown'!$F$103, $H54, Breakdown!$H$98:'Breakdown'!$H$103, $F$54)</f>
        <v>16596</v>
      </c>
      <c r="Q54" s="140">
        <f>SUM(M54:P54)</f>
        <v>66384</v>
      </c>
      <c r="R54" s="108">
        <v>40</v>
      </c>
      <c r="S54" s="80" t="s">
        <v>281</v>
      </c>
    </row>
    <row r="55" spans="1:19" ht="16.2" thickBot="1">
      <c r="A55" s="307"/>
      <c r="B55" s="266"/>
      <c r="C55" s="246"/>
      <c r="D55" s="266"/>
      <c r="E55" s="246"/>
      <c r="F55" s="266"/>
      <c r="G55" s="246"/>
      <c r="H55" s="95">
        <v>74100</v>
      </c>
      <c r="I55" s="248" t="s">
        <v>42</v>
      </c>
      <c r="J55" s="249"/>
      <c r="K55" s="249"/>
      <c r="L55" s="250"/>
      <c r="M55" s="188">
        <f>SUMIFS(Breakdown!L$98:'Breakdown'!L$103, Breakdown!$F$98:'Breakdown'!$F$103, $H55, Breakdown!$H$98:'Breakdown'!$H$103, $F$54)</f>
        <v>4000</v>
      </c>
      <c r="N55" s="113">
        <f>SUMIFS(Breakdown!M$98:'Breakdown'!M$103, Breakdown!$F$98:'Breakdown'!$F$103, $H55, Breakdown!$H$98:'Breakdown'!$H$103, $F$54)</f>
        <v>4000</v>
      </c>
      <c r="O55" s="113">
        <f>SUMIFS(Breakdown!N$98:'Breakdown'!N$103, Breakdown!$F$98:'Breakdown'!$F$103, $H55, Breakdown!$H$98:'Breakdown'!$H$103, $F$54)</f>
        <v>4000</v>
      </c>
      <c r="P55" s="113">
        <f>SUMIFS(Breakdown!O$98:'Breakdown'!O$103, Breakdown!$F$98:'Breakdown'!$F$103, $H55, Breakdown!$H$98:'Breakdown'!$H$103, $F$54)</f>
        <v>4000</v>
      </c>
      <c r="Q55" s="140">
        <f t="shared" ref="Q55:Q56" si="16">SUM(M55:P55)</f>
        <v>16000</v>
      </c>
      <c r="R55" s="108">
        <v>41</v>
      </c>
      <c r="S55" s="80" t="s">
        <v>283</v>
      </c>
    </row>
    <row r="56" spans="1:19" ht="16.2" thickBot="1">
      <c r="A56" s="307"/>
      <c r="B56" s="266"/>
      <c r="C56" s="246"/>
      <c r="D56" s="266"/>
      <c r="E56" s="246"/>
      <c r="F56" s="266"/>
      <c r="G56" s="246"/>
      <c r="H56" s="86">
        <v>74500</v>
      </c>
      <c r="I56" s="251" t="s">
        <v>39</v>
      </c>
      <c r="J56" s="252"/>
      <c r="K56" s="252"/>
      <c r="L56" s="253"/>
      <c r="M56" s="188">
        <f>SUMIFS(Breakdown!L$98:'Breakdown'!L$103, Breakdown!$F$98:'Breakdown'!$F$103, $H56, Breakdown!$H$98:'Breakdown'!$H$103, $F$54)</f>
        <v>1113</v>
      </c>
      <c r="N56" s="113">
        <f>SUMIFS(Breakdown!M$98:'Breakdown'!M$103, Breakdown!$F$98:'Breakdown'!$F$103, $H56, Breakdown!$H$98:'Breakdown'!$H$103, $F$54)</f>
        <v>174</v>
      </c>
      <c r="O56" s="113">
        <f>SUMIFS(Breakdown!N$98:'Breakdown'!N$103, Breakdown!$F$98:'Breakdown'!$F$103, $H56, Breakdown!$H$98:'Breakdown'!$H$103, $F$54)</f>
        <v>0</v>
      </c>
      <c r="P56" s="113">
        <f>SUMIFS(Breakdown!O$98:'Breakdown'!O$103, Breakdown!$F$98:'Breakdown'!$F$103, $H56, Breakdown!$H$98:'Breakdown'!$H$103, $F$54)</f>
        <v>0</v>
      </c>
      <c r="Q56" s="140">
        <f t="shared" si="16"/>
        <v>1287</v>
      </c>
      <c r="R56" s="82">
        <v>42</v>
      </c>
      <c r="S56" s="80" t="s">
        <v>332</v>
      </c>
    </row>
    <row r="57" spans="1:19" ht="16.2" thickBot="1">
      <c r="A57" s="307"/>
      <c r="B57" s="266"/>
      <c r="C57" s="246"/>
      <c r="D57" s="267"/>
      <c r="E57" s="264"/>
      <c r="F57" s="267"/>
      <c r="G57" s="264"/>
      <c r="H57" s="105"/>
      <c r="I57" s="254" t="s">
        <v>73</v>
      </c>
      <c r="J57" s="255"/>
      <c r="K57" s="255"/>
      <c r="L57" s="256"/>
      <c r="M57" s="189">
        <f>SUM(M54:M56)</f>
        <v>21709</v>
      </c>
      <c r="N57" s="114">
        <f t="shared" ref="N57:P57" si="17">SUM(N54:N56)</f>
        <v>20770</v>
      </c>
      <c r="O57" s="114">
        <f t="shared" si="17"/>
        <v>20596</v>
      </c>
      <c r="P57" s="114">
        <f t="shared" si="17"/>
        <v>20596</v>
      </c>
      <c r="Q57" s="114">
        <f>SUM(M57:P57)</f>
        <v>83671</v>
      </c>
      <c r="R57" s="141"/>
      <c r="S57" s="80"/>
    </row>
    <row r="58" spans="1:19" ht="16.2" thickBot="1">
      <c r="A58" s="307"/>
      <c r="B58" s="266"/>
      <c r="C58" s="246"/>
      <c r="D58" s="273">
        <v>4000</v>
      </c>
      <c r="E58" s="272"/>
      <c r="F58" s="273" t="s">
        <v>32</v>
      </c>
      <c r="G58" s="272"/>
      <c r="H58" s="82">
        <v>71300</v>
      </c>
      <c r="I58" s="251" t="s">
        <v>34</v>
      </c>
      <c r="J58" s="252"/>
      <c r="K58" s="252"/>
      <c r="L58" s="253"/>
      <c r="M58" s="188">
        <f>SUMIFS(Breakdown!L$98:'Breakdown'!L$103, Breakdown!$F$98:'Breakdown'!$F$103, $H58, Breakdown!$H$98:'Breakdown'!$H$103, $F$58)</f>
        <v>24576</v>
      </c>
      <c r="N58" s="113">
        <f>SUMIFS(Breakdown!M$98:'Breakdown'!M$103, Breakdown!$F$98:'Breakdown'!$F$103, $H58, Breakdown!$H$98:'Breakdown'!$H$103, $F$58)</f>
        <v>24576</v>
      </c>
      <c r="O58" s="113">
        <f>SUMIFS(Breakdown!N$98:'Breakdown'!N$103, Breakdown!$F$98:'Breakdown'!$F$103, $H58, Breakdown!$H$98:'Breakdown'!$H$103, $F$58)</f>
        <v>24576</v>
      </c>
      <c r="P58" s="113">
        <f>SUMIFS(Breakdown!O$98:'Breakdown'!O$103, Breakdown!$F$98:'Breakdown'!$F$103, $H58, Breakdown!$H$98:'Breakdown'!$H$103, $F$58)</f>
        <v>24576</v>
      </c>
      <c r="Q58" s="140">
        <f t="shared" ref="Q58:Q60" si="18">SUM(M58:P58)</f>
        <v>98304</v>
      </c>
      <c r="R58" s="82">
        <v>43</v>
      </c>
      <c r="S58" s="80" t="s">
        <v>282</v>
      </c>
    </row>
    <row r="59" spans="1:19" ht="16.2" thickBot="1">
      <c r="A59" s="307"/>
      <c r="B59" s="266"/>
      <c r="C59" s="246"/>
      <c r="D59" s="266"/>
      <c r="E59" s="246"/>
      <c r="F59" s="266"/>
      <c r="G59" s="246"/>
      <c r="H59" s="104">
        <v>72800</v>
      </c>
      <c r="I59" s="233" t="s">
        <v>41</v>
      </c>
      <c r="J59" s="234"/>
      <c r="K59" s="234"/>
      <c r="L59" s="235"/>
      <c r="M59" s="188">
        <f>SUMIFS(Breakdown!L$98:'Breakdown'!L$103, Breakdown!$F$98:'Breakdown'!$F$103, $H59, Breakdown!$H$98:'Breakdown'!$H$103, $F$58)</f>
        <v>8000</v>
      </c>
      <c r="N59" s="113">
        <f>SUMIFS(Breakdown!M$98:'Breakdown'!M$103, Breakdown!$F$98:'Breakdown'!$F$103, $H59, Breakdown!$H$98:'Breakdown'!$H$103, $F$58)</f>
        <v>0</v>
      </c>
      <c r="O59" s="113">
        <f>SUMIFS(Breakdown!N$98:'Breakdown'!N$103, Breakdown!$F$98:'Breakdown'!$F$103, $H59, Breakdown!$H$98:'Breakdown'!$H$103, $F$58)</f>
        <v>0</v>
      </c>
      <c r="P59" s="113">
        <f>SUMIFS(Breakdown!O$98:'Breakdown'!O$103, Breakdown!$F$98:'Breakdown'!$F$103, $H59, Breakdown!$H$98:'Breakdown'!$H$103, $F$58)</f>
        <v>0</v>
      </c>
      <c r="Q59" s="140">
        <f t="shared" si="18"/>
        <v>8000</v>
      </c>
      <c r="R59" s="82">
        <v>44</v>
      </c>
      <c r="S59" s="80" t="s">
        <v>280</v>
      </c>
    </row>
    <row r="60" spans="1:19" ht="16.2" thickBot="1">
      <c r="A60" s="307"/>
      <c r="B60" s="266"/>
      <c r="C60" s="246"/>
      <c r="D60" s="266"/>
      <c r="E60" s="246"/>
      <c r="F60" s="266"/>
      <c r="G60" s="246"/>
      <c r="H60" s="86">
        <v>74500</v>
      </c>
      <c r="I60" s="251" t="s">
        <v>39</v>
      </c>
      <c r="J60" s="252"/>
      <c r="K60" s="252"/>
      <c r="L60" s="253"/>
      <c r="M60" s="188">
        <f>SUMIFS(Breakdown!L$98:'Breakdown'!L$103, Breakdown!$F$98:'Breakdown'!$F$103, $H60, Breakdown!$H$98:'Breakdown'!$H$103, $F$58)</f>
        <v>0</v>
      </c>
      <c r="N60" s="113">
        <f>SUMIFS(Breakdown!M$98:'Breakdown'!M$103, Breakdown!$F$98:'Breakdown'!$F$103, $H60, Breakdown!$H$98:'Breakdown'!$H$103, $F$58)</f>
        <v>826</v>
      </c>
      <c r="O60" s="113">
        <f>SUMIFS(Breakdown!N$98:'Breakdown'!N$103, Breakdown!$F$98:'Breakdown'!$F$103, $H60, Breakdown!$H$98:'Breakdown'!$H$103, $F$58)</f>
        <v>1000</v>
      </c>
      <c r="P60" s="113">
        <f>SUMIFS(Breakdown!O$98:'Breakdown'!O$103, Breakdown!$F$98:'Breakdown'!$F$103, $H60, Breakdown!$H$98:'Breakdown'!$H$103, $F$58)</f>
        <v>1000</v>
      </c>
      <c r="Q60" s="140">
        <f t="shared" si="18"/>
        <v>2826</v>
      </c>
      <c r="R60" s="82">
        <v>45</v>
      </c>
      <c r="S60" s="80" t="s">
        <v>279</v>
      </c>
    </row>
    <row r="61" spans="1:19" ht="16.2" thickBot="1">
      <c r="A61" s="307"/>
      <c r="B61" s="266"/>
      <c r="C61" s="246"/>
      <c r="D61" s="267"/>
      <c r="E61" s="264"/>
      <c r="F61" s="267"/>
      <c r="G61" s="264"/>
      <c r="H61" s="109"/>
      <c r="I61" s="297" t="s">
        <v>84</v>
      </c>
      <c r="J61" s="276"/>
      <c r="K61" s="276"/>
      <c r="L61" s="277"/>
      <c r="M61" s="190">
        <f>SUM(M58:M60)</f>
        <v>32576</v>
      </c>
      <c r="N61" s="117">
        <f t="shared" ref="N61:P61" si="19">SUM(N58:N60)</f>
        <v>25402</v>
      </c>
      <c r="O61" s="117">
        <f t="shared" si="19"/>
        <v>25576</v>
      </c>
      <c r="P61" s="117">
        <f t="shared" si="19"/>
        <v>25576</v>
      </c>
      <c r="Q61" s="136">
        <f>SUM(M61:P61)</f>
        <v>109130</v>
      </c>
      <c r="R61" s="110"/>
      <c r="S61" s="80"/>
    </row>
    <row r="62" spans="1:19" ht="16.2" thickBot="1">
      <c r="A62" s="308"/>
      <c r="B62" s="267"/>
      <c r="C62" s="264"/>
      <c r="D62" s="282"/>
      <c r="E62" s="279"/>
      <c r="F62" s="282"/>
      <c r="G62" s="279"/>
      <c r="H62" s="111"/>
      <c r="I62" s="282" t="s">
        <v>187</v>
      </c>
      <c r="J62" s="283"/>
      <c r="K62" s="283"/>
      <c r="L62" s="279"/>
      <c r="M62" s="189">
        <f>M57+M61</f>
        <v>54285</v>
      </c>
      <c r="N62" s="116">
        <f t="shared" ref="N62:Q62" si="20">N57+N61</f>
        <v>46172</v>
      </c>
      <c r="O62" s="116">
        <f t="shared" si="20"/>
        <v>46172</v>
      </c>
      <c r="P62" s="116">
        <f t="shared" si="20"/>
        <v>46172</v>
      </c>
      <c r="Q62" s="116">
        <f t="shared" si="20"/>
        <v>192801</v>
      </c>
      <c r="R62" s="144"/>
      <c r="S62" s="80"/>
    </row>
    <row r="63" spans="1:19" ht="16.2" thickBot="1">
      <c r="A63" s="298" t="s">
        <v>188</v>
      </c>
      <c r="B63" s="299"/>
      <c r="C63" s="299"/>
      <c r="D63" s="299"/>
      <c r="E63" s="299"/>
      <c r="F63" s="299"/>
      <c r="G63" s="299"/>
      <c r="H63" s="299"/>
      <c r="I63" s="299"/>
      <c r="J63" s="299"/>
      <c r="K63" s="299"/>
      <c r="L63" s="300"/>
      <c r="M63" s="189">
        <f>SUM(M11,M24,M35,M45,M57)</f>
        <v>288579</v>
      </c>
      <c r="N63" s="116">
        <f t="shared" ref="N63:Q63" si="21">SUM(N11,N24,N35,N45,N57)</f>
        <v>445272</v>
      </c>
      <c r="O63" s="116">
        <f t="shared" si="21"/>
        <v>102322</v>
      </c>
      <c r="P63" s="116">
        <f t="shared" si="21"/>
        <v>88393</v>
      </c>
      <c r="Q63" s="116">
        <f t="shared" si="21"/>
        <v>924566</v>
      </c>
      <c r="R63" s="145"/>
      <c r="S63" s="80"/>
    </row>
    <row r="64" spans="1:19" ht="16.2" thickBot="1">
      <c r="A64" s="301" t="s">
        <v>189</v>
      </c>
      <c r="B64" s="302"/>
      <c r="C64" s="302"/>
      <c r="D64" s="302"/>
      <c r="E64" s="302"/>
      <c r="F64" s="302"/>
      <c r="G64" s="302"/>
      <c r="H64" s="302"/>
      <c r="I64" s="302"/>
      <c r="J64" s="302"/>
      <c r="K64" s="302"/>
      <c r="L64" s="303"/>
      <c r="M64" s="193">
        <f>SUM(M14,M29,M37,M52,M61)</f>
        <v>142791</v>
      </c>
      <c r="N64" s="121">
        <f t="shared" ref="N64:Q64" si="22">SUM(N14,N29,N37,N52,N61)</f>
        <v>278536</v>
      </c>
      <c r="O64" s="121">
        <f t="shared" si="22"/>
        <v>281785</v>
      </c>
      <c r="P64" s="121">
        <f t="shared" si="22"/>
        <v>96888</v>
      </c>
      <c r="Q64" s="121">
        <f t="shared" si="22"/>
        <v>800000</v>
      </c>
      <c r="R64" s="145"/>
      <c r="S64" s="80"/>
    </row>
    <row r="65" spans="1:19" ht="16.8" thickTop="1" thickBot="1">
      <c r="A65" s="304" t="s">
        <v>79</v>
      </c>
      <c r="B65" s="305"/>
      <c r="C65" s="305"/>
      <c r="D65" s="305"/>
      <c r="E65" s="305"/>
      <c r="F65" s="305"/>
      <c r="G65" s="305"/>
      <c r="H65" s="305"/>
      <c r="I65" s="305"/>
      <c r="J65" s="305"/>
      <c r="K65" s="305"/>
      <c r="L65" s="305"/>
      <c r="M65" s="194">
        <f>SUM(M63:M64)</f>
        <v>431370</v>
      </c>
      <c r="N65" s="122">
        <f t="shared" ref="N65:Q65" si="23">SUM(N63:N64)</f>
        <v>723808</v>
      </c>
      <c r="O65" s="122">
        <f t="shared" si="23"/>
        <v>384107</v>
      </c>
      <c r="P65" s="122">
        <f t="shared" si="23"/>
        <v>185281</v>
      </c>
      <c r="Q65" s="122">
        <f t="shared" si="23"/>
        <v>1724566</v>
      </c>
      <c r="R65" s="112"/>
      <c r="S65" s="80"/>
    </row>
    <row r="66" spans="1:19" ht="16.2" thickTop="1"/>
    <row r="67" spans="1:19" ht="16.2" thickBot="1">
      <c r="A67" s="20"/>
    </row>
    <row r="68" spans="1:19">
      <c r="A68" s="123"/>
    </row>
  </sheetData>
  <mergeCells count="115">
    <mergeCell ref="A63:L63"/>
    <mergeCell ref="D62:E62"/>
    <mergeCell ref="F62:G62"/>
    <mergeCell ref="I62:L62"/>
    <mergeCell ref="A64:L64"/>
    <mergeCell ref="A65:L65"/>
    <mergeCell ref="A54:A62"/>
    <mergeCell ref="B54:C62"/>
    <mergeCell ref="D54:E57"/>
    <mergeCell ref="F54:G57"/>
    <mergeCell ref="I54:L54"/>
    <mergeCell ref="F53:G53"/>
    <mergeCell ref="I53:L53"/>
    <mergeCell ref="I55:L55"/>
    <mergeCell ref="I56:L56"/>
    <mergeCell ref="I57:L57"/>
    <mergeCell ref="D58:E61"/>
    <mergeCell ref="F58:G61"/>
    <mergeCell ref="I58:L58"/>
    <mergeCell ref="I60:L60"/>
    <mergeCell ref="I59:L59"/>
    <mergeCell ref="I61:L61"/>
    <mergeCell ref="A39:A53"/>
    <mergeCell ref="B39:C53"/>
    <mergeCell ref="D39:E45"/>
    <mergeCell ref="F39:G45"/>
    <mergeCell ref="I39:L39"/>
    <mergeCell ref="D38:E38"/>
    <mergeCell ref="F38:G38"/>
    <mergeCell ref="I38:L38"/>
    <mergeCell ref="I47:L47"/>
    <mergeCell ref="I40:L40"/>
    <mergeCell ref="I41:L41"/>
    <mergeCell ref="I42:L42"/>
    <mergeCell ref="I43:L43"/>
    <mergeCell ref="I44:L44"/>
    <mergeCell ref="I45:L45"/>
    <mergeCell ref="D46:E52"/>
    <mergeCell ref="F46:G52"/>
    <mergeCell ref="I46:L46"/>
    <mergeCell ref="I49:L49"/>
    <mergeCell ref="I50:L50"/>
    <mergeCell ref="I48:L48"/>
    <mergeCell ref="I51:L51"/>
    <mergeCell ref="I52:L52"/>
    <mergeCell ref="D53:E53"/>
    <mergeCell ref="I32:L32"/>
    <mergeCell ref="A31:A38"/>
    <mergeCell ref="B31:C38"/>
    <mergeCell ref="D31:E35"/>
    <mergeCell ref="F31:G35"/>
    <mergeCell ref="I31:L31"/>
    <mergeCell ref="I33:L33"/>
    <mergeCell ref="I34:L34"/>
    <mergeCell ref="I35:L35"/>
    <mergeCell ref="I37:L37"/>
    <mergeCell ref="D36:E37"/>
    <mergeCell ref="F36:G37"/>
    <mergeCell ref="I36:L36"/>
    <mergeCell ref="I17:L17"/>
    <mergeCell ref="A16:A30"/>
    <mergeCell ref="B16:C30"/>
    <mergeCell ref="D16:E24"/>
    <mergeCell ref="F16:G24"/>
    <mergeCell ref="I16:L16"/>
    <mergeCell ref="I18:L18"/>
    <mergeCell ref="I20:L20"/>
    <mergeCell ref="I21:L21"/>
    <mergeCell ref="I26:L26"/>
    <mergeCell ref="I28:L28"/>
    <mergeCell ref="I19:L19"/>
    <mergeCell ref="I22:L22"/>
    <mergeCell ref="I23:L23"/>
    <mergeCell ref="I27:L27"/>
    <mergeCell ref="I24:L24"/>
    <mergeCell ref="I25:L25"/>
    <mergeCell ref="I29:L29"/>
    <mergeCell ref="D30:E30"/>
    <mergeCell ref="F30:G30"/>
    <mergeCell ref="I30:L30"/>
    <mergeCell ref="D25:E29"/>
    <mergeCell ref="F25:G29"/>
    <mergeCell ref="I4:L4"/>
    <mergeCell ref="A3:A15"/>
    <mergeCell ref="B3:C15"/>
    <mergeCell ref="D3:E11"/>
    <mergeCell ref="F3:G11"/>
    <mergeCell ref="I3:L3"/>
    <mergeCell ref="I5:L5"/>
    <mergeCell ref="I7:L7"/>
    <mergeCell ref="I8:L8"/>
    <mergeCell ref="I6:L6"/>
    <mergeCell ref="I9:L9"/>
    <mergeCell ref="I10:L10"/>
    <mergeCell ref="I11:L11"/>
    <mergeCell ref="D15:E15"/>
    <mergeCell ref="F15:G15"/>
    <mergeCell ref="I15:L15"/>
    <mergeCell ref="I13:L13"/>
    <mergeCell ref="D12:E14"/>
    <mergeCell ref="F12:G14"/>
    <mergeCell ref="I12:L12"/>
    <mergeCell ref="I14:L14"/>
    <mergeCell ref="M1:M2"/>
    <mergeCell ref="N1:N2"/>
    <mergeCell ref="O1:O2"/>
    <mergeCell ref="P1:P2"/>
    <mergeCell ref="Q1:Q2"/>
    <mergeCell ref="R1:R2"/>
    <mergeCell ref="A1:A2"/>
    <mergeCell ref="B1:C2"/>
    <mergeCell ref="D1:E2"/>
    <mergeCell ref="F1:G2"/>
    <mergeCell ref="H1:H2"/>
    <mergeCell ref="I1:L2"/>
  </mergeCells>
  <pageMargins left="0.7" right="0.7" top="0.75" bottom="0.75" header="0.3" footer="0.3"/>
  <pageSetup paperSize="9" scale="95" fitToHeight="0" orientation="portrait" r:id="rId1"/>
  <ignoredErrors>
    <ignoredError sqref="Q53 Q38 Q30"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AD3CD4-4EDB-0345-BD5B-CCC29FBFF811}">
  <dimension ref="A1:B49"/>
  <sheetViews>
    <sheetView topLeftCell="A28" workbookViewId="0">
      <selection sqref="A1:B46"/>
    </sheetView>
  </sheetViews>
  <sheetFormatPr baseColWidth="10" defaultRowHeight="15.6"/>
  <cols>
    <col min="1" max="1" width="10.8984375" style="178"/>
    <col min="2" max="2" width="108.5" style="179" customWidth="1"/>
  </cols>
  <sheetData>
    <row r="1" spans="1:2">
      <c r="A1" s="174" t="s">
        <v>284</v>
      </c>
      <c r="B1" s="173" t="s">
        <v>0</v>
      </c>
    </row>
    <row r="2" spans="1:2" ht="96.6">
      <c r="A2" s="175">
        <f>Budget_UNDP!R3</f>
        <v>1</v>
      </c>
      <c r="B2" s="176" t="str">
        <f>Budget_UNDP!S3</f>
        <v xml:space="preserve">Includes:
- For Output 1.2: This covers contracting of 1 senior international consultant for 12 days (@ $700/day) with expertise in minigrid delivery models in Y1.
- For Output 1.4: An international expert on quality standards for minigrids will be recruited for 20 days (@ $700/day), including 5 days in Y1 and 15 days in Y2 to support development of quality standards and institutional capacity-building.
- For Output 1.5: An international expert will be recruited for 10 days (@ $700/day), including 5 days in Y1 and 5 days in Y2 to support the operatinalization of the certification scheme.
- For Output 1.6: An international consultant @$700/day will be recruited for 10 days in Y4 to conduct the lightweight DREI analysis. </v>
      </c>
    </row>
    <row r="3" spans="1:2" ht="151.80000000000001">
      <c r="A3" s="175">
        <f>Budget_UNDP!R4</f>
        <v>2</v>
      </c>
      <c r="B3" s="176" t="str">
        <f>Budget_UNDP!S4</f>
        <v xml:space="preserve">Includes:
- For Output 1.1: $300 per meeting x 20 meetings of the multi-stakeholder platform over 4 years.
- For Output 1.2: A local technical expert will be contracted for 20 days to support the international consultant in drafting a minigrid delivery strategy (@$300/day) in Y1.
- For Output 1.3: A local consultant will be recruited for 20 days (8 days in Y1, 8 days in Y2, 4 days in Y3) to support the international expert in providing capacity-building trainings (@$300/day).
- For Output 1.4: A national consultant will be recruited to suppport the international expert. This is planned to cover 20 days level of effort (@ $300/day), including 5 days in Y1 and 15 days in Y2.
- For Output 1.5: A local consultant will be recruited for 10 days (@ $300/day), including 5 days in Y1 and 5 days in Y2 to support the international consultant.
- For Output 1.6: A national consultant @ $300/day will be recruited for 10 days in Y4 to support the lightweight DREI analysis. </v>
      </c>
    </row>
    <row r="4" spans="1:2" ht="220.8">
      <c r="A4" s="175">
        <f>Budget_UNDP!R5</f>
        <v>3</v>
      </c>
      <c r="B4" s="176" t="str">
        <f>Budget_UNDP!S5</f>
        <v>Includes:
- For Output 1.1: DSA for local travel for each meeting (@$200/meeting for 20 meetings, 5 in each year); DSA for 2 people for 5 days @$281/day from the Senegalese platform in 2 trips (3 days + 2 days in Y1); 2 return tickets (Dakar - Ouagadougou) for 2 people from the Senegalese Platform (@$800/flight) in Y1.
- For Output 1.2: This covers (all in Y1): 4 days DSA for international consultant ($281*4); 1 international return ticket for international consultant (@$1,500 per return ticket). The international consultant will attend the inception workshop virtually and the dissemination workshop on site. Local travel for local consultant and stakeholders ($20*70).
- For Output 1.3: This covers DSA for the international consultant for the 3 trainings (9 days in Y1, 9 days in Y2, 5 days in Y3) @ $281/day; Local travel for participants to the 3 trainings: 30 participants per training @$20/participant/training; 3 return tickets for the international consultant @ $1,500/ticket (1 in each of Y1, Y2, Y3).
- For Output 1.4: This covers DSA for the international consultant for the 3 trainings (4 days in Y1 and 12 days in Y2) @$281/day; Local travel for participants to the 3 trainings: 30 participants per training @$20/participant/training, with 1 training in Y1 and 2 trainings in Y2; 3 return tickets for the international consultant @ $1,500/ticket (1 in Y1 and 2 in Y2).
- For Output 1.5: This covers DSA for the international consultant for 2 trainings (4 days in Y1 and 4 days in Y2) @$281/day; Local travel for participants to the 2 trainings: 30 participants per training @$20/participant/training, with 1 training in Y1 and 1 training in Y2; 2 return tickets for the international consultant @ $2,000/ticket (1 in Y1 and 1 in Y2).</v>
      </c>
    </row>
    <row r="5" spans="1:2" ht="41.4">
      <c r="A5" s="175">
        <f>Budget_UNDP!R6</f>
        <v>4</v>
      </c>
      <c r="B5" s="176" t="str">
        <f>Budget_UNDP!S6</f>
        <v xml:space="preserve">Includes:
- For Output 1.3: For procurement of tools necessary for increasing capacity of target stakeholders (@ $1,000 per year in Y1, Y2, Y3).
- For Output 1.4: Covers equipement and material for the testing laboratory (bought in Y1), for $5,000 in total. </v>
      </c>
    </row>
    <row r="6" spans="1:2" ht="27.6">
      <c r="A6" s="175">
        <f>Budget_UNDP!R7</f>
        <v>5</v>
      </c>
      <c r="B6" s="176" t="str">
        <f>Budget_UNDP!S7</f>
        <v>Includes:
- For Output 1.3: Supplies related to trainings and building technical capacities of target institutional actors (@ $1,000 per year in Y1, Y2, Y3).</v>
      </c>
    </row>
    <row r="7" spans="1:2" ht="41.4">
      <c r="A7" s="175">
        <f>Budget_UNDP!R8</f>
        <v>6</v>
      </c>
      <c r="B7" s="176" t="str">
        <f>Budget_UNDP!S8</f>
        <v>Includes:
- For Output 1.4: Communication costs at $1,000 in Y2. 
- For Output 1.6: Communication and translation costs for $3,000 in Y4.</v>
      </c>
    </row>
    <row r="8" spans="1:2" ht="124.2">
      <c r="A8" s="175">
        <f>Budget_UNDP!R9</f>
        <v>7</v>
      </c>
      <c r="B8" s="176" t="str">
        <f>Budget_UNDP!S9</f>
        <v>Includes:
- For Output 1.1: This will cover venues and related cost for for capacity- building trainings of multi-stakeholders' platform on various themes such as e-waste, tax-exemption, fundraising, delivery models, innovative minigrid technologies,  etc. This line item will also cover participation of members of the Platform in workshops, when necessary (@$1,500/year).
- For Output 1.2: This covers venue and related costs for 2 workshops (inception and dissemination) in Y1 during the minigrid strategy development (@$2,500 per workshop).
- For Output 1.3: To cover venue and related cost for the 3 trainings @ $2,500 per training in Y1 and Y2, and $2,000 in Y3.
- For Output 1.4: This covers 3 trainings @2,500/training, including 1 training and Y1 and 2 trainings in Y2.
- For Output 1.5: This covers 2 trainings @2,500/training, including 1 training and Y1 and 1 training in Y2.</v>
      </c>
    </row>
    <row r="9" spans="1:2" ht="27.6">
      <c r="A9" s="175">
        <f>Budget_UNDP!R10</f>
        <v>8</v>
      </c>
      <c r="B9" s="176" t="str">
        <f>Budget_UNDP!S10</f>
        <v>Includes:
- For Output 1.4: This covers 3 computers and other IT equipment for the testing laboratory (bought in Y1), for a total of $8,000.</v>
      </c>
    </row>
    <row r="10" spans="1:2" ht="55.2">
      <c r="A10" s="175">
        <f>Budget_UNDP!R12</f>
        <v>9</v>
      </c>
      <c r="B10" s="176" t="str">
        <f>Budget_UNDP!S12</f>
        <v>Includes:
- For Output 1.1: 2 consultants paid @ $700 / day for 7 days each to support the national multi-stakeholder platform.
- For Output 1.3: International consultant will be recruited for 20 days (8 days in Y1, 8 days in Y2, 4 days in Y3), so 3 trainings in total, to provide capacity-building trainings to targeted public sector stakeholders involved in minigrid promotion such as regulator, agencies, etc. (@ $700/day).</v>
      </c>
    </row>
    <row r="11" spans="1:2" ht="27.6">
      <c r="A11" s="175">
        <f>Budget_UNDP!R13</f>
        <v>10</v>
      </c>
      <c r="B11" s="176" t="str">
        <f>Budget_UNDP!S13</f>
        <v>Includes:
- For Output 1.5: Covers equipement and material for the trainings, $4,000 in Y1 and $4,000 in Y2.</v>
      </c>
    </row>
    <row r="12" spans="1:2" ht="41.4">
      <c r="A12" s="175">
        <f>Budget_UNDP!R16</f>
        <v>11</v>
      </c>
      <c r="B12" s="176" t="str">
        <f>Budget_UNDP!S16</f>
        <v>Includes:
- For Output 2.1: This include: $12K for a legal consultant to support the tender and contracting process for the pilot projects in Y1; $7,020 for a safeguards consultant in Y1.</v>
      </c>
    </row>
    <row r="13" spans="1:2" ht="55.2">
      <c r="A13" s="175">
        <f>Budget_UNDP!R17</f>
        <v>12</v>
      </c>
      <c r="B13" s="176" t="str">
        <f>Budget_UNDP!S17</f>
        <v>Includes:
- For Output 2.2: Local expert to support elaboration and capacity-buidling in collaboration with an international expert: 10 days in Y1 and 10 days in Y2 @ $300/day..
- For Output 2.3: Part-time HR to provide admin services to the Association and also adhoc consulting needs (12 days @ $300/day for Y1 and Y2 each).</v>
      </c>
    </row>
    <row r="14" spans="1:2" ht="82.8">
      <c r="A14" s="175">
        <f>Budget_UNDP!R18</f>
        <v>13</v>
      </c>
      <c r="B14" s="176" t="str">
        <f>Budget_UNDP!S18</f>
        <v>Includes:
- For Output 2.2: This covers DSA for the international consultant for the 2 trainings (5 days in Y1, 5 days in Y2) @ $281/day; Local travel for participants to the 2 trainings: 30 participants per training @$20/participant/training; 2 return tickets for the international consultant @ $2,000/ticket (1 in each of Y1, Y2).
- For Output 2.3: This covers DSAs for 4 people for 5 days @ $281/day; 4 return tickets: 1 for the international consultant @ $2,000/ticket, and 3 for the members of the association @ $1,500/ticket.</v>
      </c>
    </row>
    <row r="15" spans="1:2" ht="27.6">
      <c r="A15" s="175">
        <f>Budget_UNDP!R19</f>
        <v>14</v>
      </c>
      <c r="B15" s="176" t="str">
        <f>Budget_UNDP!S19</f>
        <v>Includes:
- For Output 2.1: Sub-contract to international firm/manufacturer to provide O&amp;M @ $6,506 for Y2 then $3,297/year for Y3, Y4.</v>
      </c>
    </row>
    <row r="16" spans="1:2" ht="27.6">
      <c r="A16" s="175">
        <f>Budget_UNDP!R20</f>
        <v>15</v>
      </c>
      <c r="B16" s="176" t="str">
        <f>Budget_UNDP!S20</f>
        <v>Includes:
- For Output 2.1: Procurement of minigrid and related goods and  services for the two pilot projects.</v>
      </c>
    </row>
    <row r="17" spans="1:2" ht="27.6">
      <c r="A17" s="175">
        <f>Budget_UNDP!R21</f>
        <v>16</v>
      </c>
      <c r="B17" s="176" t="str">
        <f>Budget_UNDP!S21</f>
        <v>Includes:
- For Output 2.3: 2 computers, 1 printers, etc. for the office @ $2,500 in Y1.</v>
      </c>
    </row>
    <row r="18" spans="1:2" ht="27.6">
      <c r="A18" s="175">
        <f>Budget_UNDP!R22</f>
        <v>17</v>
      </c>
      <c r="B18" s="176" t="str">
        <f>Budget_UNDP!S22</f>
        <v>Includes:
- For Output 2.3: This will cover printing of brochures, business cards and etc. @ $1,500 in Y1.</v>
      </c>
    </row>
    <row r="19" spans="1:2" ht="82.8">
      <c r="A19" s="175">
        <f>Budget_UNDP!R23</f>
        <v>18</v>
      </c>
      <c r="B19" s="176" t="str">
        <f>Budget_UNDP!S23</f>
        <v>Includes:
- For Output 2.1: Training in innovative business models, entrepreneurship, installations, financial literacy for women. Also, issues of IPP and climate change will be covered under these trainings. 
- For Output 2.2: This covers 2 trainings @2,500/training, including 1 training and Y1 and 1 training in Y2.
- For Output 2.3: This covers venue, breaks, etc. fees paid to attend conferences, etc. as well as possible registration fees to attend workshops @ $2,500 in Y1 and $2,500 in Y2.</v>
      </c>
    </row>
    <row r="20" spans="1:2" ht="82.8">
      <c r="A20" s="175">
        <f>Budget_UNDP!R25</f>
        <v>19</v>
      </c>
      <c r="B20" s="176" t="str">
        <f>Budget_UNDP!S25</f>
        <v>Includes:
- For Output 2.1: $6,215 in Y1, $6,312 in Y2, $6,409 in Y3, $6,312 in Y4 for safeguards and gender consultants.
- For Output 2.2: International expert recruited for about 14 days to suppport training of target stakeholders (7 days in Y1 and 7 days in Y2 @ $700/day).
- For Output 2.3: An international consultant will support the industry association in terms of best-practices, membership growth, bylaws, etc. 12 days @ $700/day (6 days in Y1 and 6 days in Y2).</v>
      </c>
    </row>
    <row r="21" spans="1:2" ht="41.4">
      <c r="A21" s="175">
        <f>Budget_UNDP!R26</f>
        <v>20</v>
      </c>
      <c r="B21" s="176" t="str">
        <f>Budget_UNDP!S26</f>
        <v>Includes:
- For Output 2.3: A firm will be hired to develop/design communication collaterals for the association such as  website, deck, etc.@ $2,000 in Y1 and $2,000 in Y2.</v>
      </c>
    </row>
    <row r="22" spans="1:2" ht="41.4">
      <c r="A22" s="175">
        <f>Budget_UNDP!R27</f>
        <v>21</v>
      </c>
      <c r="B22" s="176" t="str">
        <f>Budget_UNDP!S27</f>
        <v>Includes:
- For Output 2.1: Procurement of minigrid and related goods and  services for the two pilot projects: $177,622 in Y2 and $222,000 in Y3.
- For Output 2.3: This will cover office supplies for the association, i.e. furnitures, etc. @ $2,000 in Y1</v>
      </c>
    </row>
    <row r="23" spans="1:2" ht="27.6">
      <c r="A23" s="175">
        <f>Budget_UNDP!R28</f>
        <v>22</v>
      </c>
      <c r="B23" s="176" t="str">
        <f>Budget_UNDP!S28</f>
        <v>Includes:
- For Output 2.3: To cover initiatial support for industry association in terms book-keeping, audit for 2 years@$2K per year for Y1 and Y2.</v>
      </c>
    </row>
    <row r="24" spans="1:2" ht="41.4">
      <c r="A24" s="175">
        <f>Budget_UNDP!R31</f>
        <v>23</v>
      </c>
      <c r="B24" s="176" t="str">
        <f>Budget_UNDP!S31</f>
        <v>Includes:
- For Output 3.1: This covers: DSAs for the international consultant for 12 days @ $281/day; 3 return tickets @ $1,500/ticket; Local travel for participants to the 3 trainings: 30 participants per training @$20/participant/training.</v>
      </c>
    </row>
    <row r="25" spans="1:2" ht="96.6">
      <c r="A25" s="175">
        <f>Budget_UNDP!R32</f>
        <v>24</v>
      </c>
      <c r="B25" s="176" t="str">
        <f>Budget_UNDP!S32</f>
        <v>Includes:
- For Output 3.1: 3 capacity-building consulting contracts@$5,000 each for Y1, Y2, Y3.
- For Output 3.2: Contractual services for market assessment exercises @ $30,000 in Y1.
- For Output 3.3: Contractual services for identification of instruments; design of fund operational structure; fundraising for the financial instrument @ $30,000 in Y3.
- For Output 3.4: Contractual services for the feasibility study @ $20,000 in Y2 and $20,000 in Y3.
- For Output 3.5: Contractual services for the development of the impact framework @ $15,000 in Y3.</v>
      </c>
    </row>
    <row r="26" spans="1:2" ht="55.2">
      <c r="A26" s="175">
        <f>Budget_UNDP!R33</f>
        <v>25</v>
      </c>
      <c r="B26" s="176" t="str">
        <f>Budget_UNDP!S33</f>
        <v>Includes:
- For Output 3.2: For dissemimnation of market intelligence @ $3,000 in Y1.
- For Output 3.4: For dissemimnation of studies @ $3,000 in Y3.
- For Output 3.5: For dissemimnation of studies @ $3,000 in Y4.</v>
      </c>
    </row>
    <row r="27" spans="1:2" ht="55.2">
      <c r="A27" s="175">
        <f>Budget_UNDP!R34</f>
        <v>26</v>
      </c>
      <c r="B27" s="176" t="str">
        <f>Budget_UNDP!S34</f>
        <v>Includes:
- For Output 3.1: 3 trainings@$2,500 per, including venue, meals and per-diem in Y1, Y2, Y3.
- For Output 3.4: To cover venues, food, etc. for 2 trainings at @ $2,500/training in Y2 and Y3.
- For Output 3.5: To cover venues, food, etc. for 2 trainings at @ $2,500/training in Y3 and Y4.</v>
      </c>
    </row>
    <row r="28" spans="1:2" ht="55.2">
      <c r="A28" s="175">
        <f>Budget_UNDP!R36</f>
        <v>27</v>
      </c>
      <c r="B28" s="176" t="str">
        <f>Budget_UNDP!S36</f>
        <v>Includes:
- For Output 3.3: Contractual services for identification of instruments; design of fund operational structure; fundraising for the financial instrument @ $20,000 in Y3.
- For Output 3.5: Contractual services for the development of the impact framework @ $20,000 in Y4.</v>
      </c>
    </row>
    <row r="29" spans="1:2" ht="55.2">
      <c r="A29" s="175">
        <f>Budget_UNDP!R39</f>
        <v>28</v>
      </c>
      <c r="B29" s="176" t="str">
        <f>Budget_UNDP!S39</f>
        <v>Includes:
- For Output 4.1: Consultant recruited 10 days@$700 to develop digital strategy in Y1.
- For Output 4.3: Consultant recruited 10 days@$700 to develop QAMF in Y1.
- For Output 4.8: 1 consultant recruited for 10 days to draft a replication and scaled-up plan in Y4 @ $300/day.</v>
      </c>
    </row>
    <row r="30" spans="1:2" ht="55.2">
      <c r="A30" s="175">
        <f>Budget_UNDP!R40</f>
        <v>29</v>
      </c>
      <c r="B30" s="176" t="str">
        <f>Budget_UNDP!S40</f>
        <v>Includes:
- For Output 4.1: Local consultant to support international expert @ $300 per day for 10 days in Y1.
- For Output 4.4: $15,000 for national consultant for MTR in Y2 and $15,000 for TE in Y4.
- For Output 4.8: 10 days field work/data collection, etc. for national consultant @ $300/day in Y4.</v>
      </c>
    </row>
    <row r="31" spans="1:2" ht="124.2">
      <c r="A31" s="175">
        <f>Budget_UNDP!R41</f>
        <v>30</v>
      </c>
      <c r="B31" s="176" t="str">
        <f>Budget_UNDP!S41</f>
        <v>Includes:
- For Output 4.1: This covers DSAs for the international consultant for 5 days @ $281/day; 1 return ticket @ $1,500/ticket; Local travel for participants to the training: 30 participants per training @$20/participant/training.
- For Output 4.3: This covers DSAs for the international consultant for 5 days @ $281/day; 1 return ticket @ $1,500/ticket; Local travel for participants to the training: 30 participants per training @$20/participant/training.
- For Output 4.5: This covers DSAs for 6 participants for 4 days @ $281/day; 6 return ticket @ $1,500/ticket (in Y2)
- For Output 4.6: This covers local travel for participants to the training: 30 participants per training @$20/participant/training in Y1, and the same in Y2.
- For Output 4.8: Local travel for data collection during field visits @ $1,500 in Y4.</v>
      </c>
    </row>
    <row r="32" spans="1:2" ht="96.6">
      <c r="A32" s="175">
        <f>Budget_UNDP!R42</f>
        <v>31</v>
      </c>
      <c r="B32" s="176" t="str">
        <f>Budget_UNDP!S42</f>
        <v>Includes:
- For Output 4.2: Contractual services for the development of the digital platform, including training of local stakeholders @ $45,000 in Y1 and $10,000 in Y2.
- For Output 4.5: Hiring in year 2-4 of a consultant or local firm to gather data and audio-visual content (video footage, photos, etc.) on the national project subject of choice for the ‘insight brief @ $5,000 in Y2 and $5,000 in Y4.
- For Output 4.6: Consultant /firm recruited to support establishment and development of  of CoP in Burkina Faso @ $3,500 in Y2 and $3,500 in Y3.
- For Output 4.7: A firm is recruited to capture and support dissemination of lessons learned @ $5,000 in Y4.</v>
      </c>
    </row>
    <row r="33" spans="1:2" ht="55.2">
      <c r="A33" s="175">
        <f>Budget_UNDP!R43</f>
        <v>32</v>
      </c>
      <c r="B33" s="176" t="str">
        <f>Budget_UNDP!S43</f>
        <v>Includes:
- For Output 4.5: This will be used to cover costs such as translation services of the insight brief into English or other languages (if applicable/needed, visa fees, etc. @ $2,500 in Y2 and $2,500 in Y4.
- For Output 4.7: Videos and briefs are produced and diisseminated  @ $3,000 in Y4.</v>
      </c>
    </row>
    <row r="34" spans="1:2" ht="69">
      <c r="A34" s="175">
        <f>Budget_UNDP!R44</f>
        <v>33</v>
      </c>
      <c r="B34" s="176" t="str">
        <f>Budget_UNDP!S44</f>
        <v>Includes:
- For Output 4.2: 2 Workshops on data strategy will be held at together with trainings on the digital strategy, as these two outputs go hand in hand @ $2,500 in Y2.
- For Output 4.4: Inception workshop $4,000 in Y1.
- For Output 4.6: Provision for various events/trainings, etc. @ $2,500 in Y2 and $2,500 in Y3.</v>
      </c>
    </row>
    <row r="35" spans="1:2" ht="27.6">
      <c r="A35" s="175">
        <f>Budget_UNDP!R46</f>
        <v>34</v>
      </c>
      <c r="B35" s="176" t="str">
        <f>Budget_UNDP!S46</f>
        <v>Includes:
- For Output 4.4: 2x35K for lead consultant for MTR and TE in Y2 and Y4.</v>
      </c>
    </row>
    <row r="36" spans="1:2" ht="41.4">
      <c r="A36" s="175">
        <f>Budget_UNDP!R47</f>
        <v>35</v>
      </c>
      <c r="B36" s="176" t="str">
        <f>Budget_UNDP!S47</f>
        <v>Includes:
- For Output 4.3: Local consultant to support international expert @ $300/day for 10 days in Y1.
- For Output 4.6: Local consultant @ $1,500 in Y2 and $1,500 in Y3.</v>
      </c>
    </row>
    <row r="37" spans="1:2" ht="27.6">
      <c r="A37" s="175">
        <f>Budget_UNDP!R48</f>
        <v>36</v>
      </c>
      <c r="B37" s="176" t="str">
        <f>Budget_UNDP!S48</f>
        <v>Includes:
- For Output 4.4: This covers local travel for M&amp;E @ $5,000/year</v>
      </c>
    </row>
    <row r="38" spans="1:2" ht="27.6">
      <c r="A38" s="175">
        <f>Budget_UNDP!R49</f>
        <v>37</v>
      </c>
      <c r="B38" s="176" t="str">
        <f>Budget_UNDP!S49</f>
        <v>Includes:
- For Output 4.4: Vehicle at $52K + 2 motorcycles at $1500 for project coordination/monitoring in Y1.</v>
      </c>
    </row>
    <row r="39" spans="1:2" ht="27.6">
      <c r="A39" s="175">
        <f>Budget_UNDP!R50</f>
        <v>38</v>
      </c>
      <c r="B39" s="176" t="str">
        <f>Budget_UNDP!S50</f>
        <v>Includes:
- For Output 4.4: Translation for MTR, TE and other documents/reports from M&amp;E and coordination @ $5,000 in Y2 and $5,000 in Y4.</v>
      </c>
    </row>
    <row r="40" spans="1:2" ht="82.8">
      <c r="A40" s="175">
        <f>Budget_UNDP!R51</f>
        <v>39</v>
      </c>
      <c r="B40" s="176" t="str">
        <f>Budget_UNDP!S51</f>
        <v>Includes:
- For Output 4.1: Capacity-building on the digital strategy will be held back-to-back with the training on data strategy in first year of the project and also some trainings under 2.1 in regards to tenders and procurement, and use of the digital platform/tool. This is for optimizing budget and also ensuring linkages between these outputs @ $2,500 in Y1.
- For Output 4.3: Cost to be applied towards training on using the QAF in coordination of output 2.1 for pilot projects. Training should be strealined with those in component 2, especially around pilot projects @ $2,500 for Y1.</v>
      </c>
    </row>
    <row r="41" spans="1:2">
      <c r="A41" s="175">
        <f>Budget_UNDP!R54</f>
        <v>40</v>
      </c>
      <c r="B41" s="176" t="str">
        <f>Budget_UNDP!S54</f>
        <v>PMU staff: Admin &amp; Finance Expert @$1,383 for 48 months.</v>
      </c>
    </row>
    <row r="42" spans="1:2">
      <c r="A42" s="175">
        <f>Budget_UNDP!R55</f>
        <v>41</v>
      </c>
      <c r="B42" s="176" t="str">
        <f>Budget_UNDP!S55</f>
        <v>This will cover audit for 4 years@$4,000 per year.</v>
      </c>
    </row>
    <row r="43" spans="1:2">
      <c r="A43" s="175">
        <f>Budget_UNDP!R56</f>
        <v>42</v>
      </c>
      <c r="B43" s="176" t="str">
        <f>Budget_UNDP!S56</f>
        <v>Miscellaneous expenses for the PMU: $1,113 in Y1 and $174 in Y2.</v>
      </c>
    </row>
    <row r="44" spans="1:2">
      <c r="A44" s="175">
        <f>Budget_UNDP!R58</f>
        <v>43</v>
      </c>
      <c r="B44" s="176" t="str">
        <f>Budget_UNDP!S58</f>
        <v>PMU staff: Full Time Project Manager @ $1,710 for 48 months; driver @ $338 for 48 months.</v>
      </c>
    </row>
    <row r="45" spans="1:2">
      <c r="A45" s="175">
        <f>Budget_UNDP!R59</f>
        <v>44</v>
      </c>
      <c r="B45" s="176" t="str">
        <f>Budget_UNDP!S59</f>
        <v>This will cover purchase of 5 computers + printer + scanner.</v>
      </c>
    </row>
    <row r="46" spans="1:2">
      <c r="A46" s="175">
        <f>Budget_UNDP!R60</f>
        <v>45</v>
      </c>
      <c r="B46" s="176" t="str">
        <f>Budget_UNDP!S60</f>
        <v>Miscellaneous expenses for the PMU.</v>
      </c>
    </row>
    <row r="47" spans="1:2">
      <c r="A47" s="172"/>
      <c r="B47" s="177"/>
    </row>
    <row r="48" spans="1:2">
      <c r="A48" s="172"/>
      <c r="B48" s="177"/>
    </row>
    <row r="49" spans="1:2">
      <c r="A49" s="172"/>
      <c r="B49" s="177"/>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C35388-8B0C-8A42-8671-AA3604249CEA}">
  <dimension ref="A1:F12"/>
  <sheetViews>
    <sheetView workbookViewId="0">
      <selection activeCell="B15" sqref="B15"/>
    </sheetView>
  </sheetViews>
  <sheetFormatPr baseColWidth="10" defaultRowHeight="15.6"/>
  <cols>
    <col min="1" max="1" width="28.5" customWidth="1"/>
    <col min="2" max="2" width="18.3984375" customWidth="1"/>
    <col min="3" max="3" width="10.8984375" customWidth="1"/>
    <col min="4" max="4" width="12.3984375" customWidth="1"/>
    <col min="5" max="5" width="28.5" customWidth="1"/>
    <col min="6" max="6" width="43.5" style="152" customWidth="1"/>
  </cols>
  <sheetData>
    <row r="1" spans="1:6">
      <c r="A1" s="313" t="s">
        <v>190</v>
      </c>
      <c r="B1" s="314"/>
      <c r="C1" s="314"/>
      <c r="D1" s="314"/>
      <c r="E1" s="315"/>
    </row>
    <row r="2" spans="1:6" ht="120" customHeight="1" thickBot="1">
      <c r="A2" s="316" t="s">
        <v>191</v>
      </c>
      <c r="B2" s="317"/>
      <c r="C2" s="317"/>
      <c r="D2" s="317"/>
      <c r="E2" s="318"/>
    </row>
    <row r="3" spans="1:6" ht="23.1" customHeight="1" thickBot="1">
      <c r="A3" s="128" t="s">
        <v>192</v>
      </c>
      <c r="B3" s="128" t="s">
        <v>193</v>
      </c>
      <c r="C3" s="148" t="s">
        <v>214</v>
      </c>
      <c r="D3" s="148" t="s">
        <v>215</v>
      </c>
      <c r="E3" s="128" t="s">
        <v>194</v>
      </c>
    </row>
    <row r="4" spans="1:6" ht="24.6" thickBot="1">
      <c r="A4" s="124" t="s">
        <v>195</v>
      </c>
      <c r="B4" s="125">
        <v>4000</v>
      </c>
      <c r="C4" s="125">
        <v>4000</v>
      </c>
      <c r="D4" s="125">
        <v>0</v>
      </c>
      <c r="E4" s="126" t="s">
        <v>196</v>
      </c>
    </row>
    <row r="5" spans="1:6" ht="24.6" thickBot="1">
      <c r="A5" s="124" t="s">
        <v>197</v>
      </c>
      <c r="B5" s="126" t="s">
        <v>198</v>
      </c>
      <c r="C5" s="126">
        <v>0</v>
      </c>
      <c r="D5" s="126">
        <v>0</v>
      </c>
      <c r="E5" s="126" t="s">
        <v>199</v>
      </c>
    </row>
    <row r="6" spans="1:6" ht="36.6" thickBot="1">
      <c r="A6" s="124" t="s">
        <v>200</v>
      </c>
      <c r="B6" s="126" t="s">
        <v>217</v>
      </c>
      <c r="C6" s="126">
        <v>0</v>
      </c>
      <c r="D6" s="126">
        <f>3500*4</f>
        <v>14000</v>
      </c>
      <c r="E6" s="126" t="s">
        <v>201</v>
      </c>
      <c r="F6" s="312" t="s">
        <v>219</v>
      </c>
    </row>
    <row r="7" spans="1:6" ht="16.2" thickBot="1">
      <c r="A7" s="124" t="s">
        <v>202</v>
      </c>
      <c r="B7" s="126" t="s">
        <v>218</v>
      </c>
      <c r="C7" s="126">
        <v>0</v>
      </c>
      <c r="D7" s="125">
        <v>6000</v>
      </c>
      <c r="E7" s="126" t="s">
        <v>203</v>
      </c>
      <c r="F7" s="312"/>
    </row>
    <row r="8" spans="1:6" ht="66.900000000000006" customHeight="1" thickBot="1">
      <c r="A8" s="186" t="s">
        <v>204</v>
      </c>
      <c r="B8" s="187" t="s">
        <v>198</v>
      </c>
      <c r="C8" s="187">
        <v>0</v>
      </c>
      <c r="D8" s="187">
        <v>0</v>
      </c>
      <c r="E8" s="187" t="s">
        <v>205</v>
      </c>
    </row>
    <row r="9" spans="1:6" ht="16.2" thickBot="1">
      <c r="A9" s="124" t="s">
        <v>206</v>
      </c>
      <c r="B9" s="126" t="s">
        <v>198</v>
      </c>
      <c r="C9" s="126">
        <v>0</v>
      </c>
      <c r="D9" s="126">
        <v>0</v>
      </c>
      <c r="E9" s="126" t="s">
        <v>207</v>
      </c>
    </row>
    <row r="10" spans="1:6" ht="16.2" thickBot="1">
      <c r="A10" s="124" t="s">
        <v>208</v>
      </c>
      <c r="B10" s="125">
        <v>50000</v>
      </c>
      <c r="C10" s="125">
        <v>15000</v>
      </c>
      <c r="D10" s="125">
        <v>35000</v>
      </c>
      <c r="E10" s="127">
        <v>45170</v>
      </c>
    </row>
    <row r="11" spans="1:6" ht="16.2" thickBot="1">
      <c r="A11" s="124" t="s">
        <v>209</v>
      </c>
      <c r="B11" s="125">
        <v>50000</v>
      </c>
      <c r="C11" s="125">
        <v>15000</v>
      </c>
      <c r="D11" s="125">
        <v>35000</v>
      </c>
      <c r="E11" s="127">
        <v>45809</v>
      </c>
    </row>
    <row r="12" spans="1:6" ht="18.899999999999999" customHeight="1" thickBot="1">
      <c r="A12" s="149" t="s">
        <v>210</v>
      </c>
      <c r="B12" s="150">
        <f>SUM(C12:D12)</f>
        <v>124000</v>
      </c>
      <c r="C12" s="150">
        <f>SUM(C4:C11)</f>
        <v>34000</v>
      </c>
      <c r="D12" s="150">
        <f>SUM(D4:D11)</f>
        <v>90000</v>
      </c>
      <c r="E12" s="151" t="s">
        <v>211</v>
      </c>
    </row>
  </sheetData>
  <mergeCells count="3">
    <mergeCell ref="F6:F7"/>
    <mergeCell ref="A1:E1"/>
    <mergeCell ref="A2:E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D6073B-5531-1346-880D-156D3A7537E8}">
  <dimension ref="A2:AL37"/>
  <sheetViews>
    <sheetView workbookViewId="0">
      <pane xSplit="1" topLeftCell="Z1" activePane="topRight" state="frozen"/>
      <selection pane="topRight" activeCell="AJ8" sqref="AJ8"/>
    </sheetView>
  </sheetViews>
  <sheetFormatPr baseColWidth="10" defaultColWidth="10.8984375" defaultRowHeight="15.6"/>
  <cols>
    <col min="1" max="1" width="27.09765625" style="79" customWidth="1"/>
    <col min="2" max="6" width="10.8984375" style="79" customWidth="1"/>
    <col min="7" max="7" width="16.3984375" style="79" customWidth="1"/>
    <col min="8" max="8" width="14.59765625" style="79" customWidth="1"/>
    <col min="9" max="9" width="18.09765625" style="79" customWidth="1"/>
    <col min="10" max="10" width="10.8984375" style="79" customWidth="1"/>
    <col min="11" max="11" width="18.8984375" style="79" customWidth="1"/>
    <col min="12" max="12" width="10.8984375" style="79" customWidth="1"/>
    <col min="13" max="13" width="15.3984375" style="79" customWidth="1"/>
    <col min="14" max="14" width="21.09765625" style="79" customWidth="1"/>
    <col min="15" max="18" width="10.8984375" style="79" customWidth="1"/>
    <col min="19" max="19" width="14.5" style="79" customWidth="1"/>
    <col min="20" max="24" width="10.8984375" style="79" customWidth="1"/>
    <col min="25" max="26" width="14.09765625" style="79" customWidth="1"/>
    <col min="27" max="30" width="10.8984375" style="79"/>
    <col min="31" max="31" width="16.3984375" style="79" customWidth="1"/>
    <col min="32" max="32" width="10.8984375" style="79"/>
    <col min="33" max="33" width="13.59765625" style="153" customWidth="1"/>
    <col min="34" max="16384" width="10.8984375" style="79"/>
  </cols>
  <sheetData>
    <row r="2" spans="1:38">
      <c r="B2" s="79" t="s">
        <v>5</v>
      </c>
      <c r="C2" s="79" t="s">
        <v>5</v>
      </c>
      <c r="D2" s="79" t="s">
        <v>5</v>
      </c>
      <c r="E2" s="79" t="s">
        <v>5</v>
      </c>
      <c r="F2" s="79" t="s">
        <v>5</v>
      </c>
      <c r="G2" s="79" t="s">
        <v>220</v>
      </c>
      <c r="H2" s="79" t="s">
        <v>6</v>
      </c>
      <c r="I2" s="79" t="s">
        <v>6</v>
      </c>
      <c r="J2" s="79" t="s">
        <v>6</v>
      </c>
      <c r="K2" s="79" t="s">
        <v>6</v>
      </c>
      <c r="L2" s="79" t="s">
        <v>6</v>
      </c>
      <c r="M2" s="79" t="s">
        <v>221</v>
      </c>
      <c r="N2" s="79" t="s">
        <v>7</v>
      </c>
      <c r="O2" s="79" t="s">
        <v>7</v>
      </c>
      <c r="P2" s="79" t="s">
        <v>7</v>
      </c>
      <c r="Q2" s="79" t="s">
        <v>7</v>
      </c>
      <c r="R2" s="79" t="s">
        <v>7</v>
      </c>
      <c r="S2" s="79" t="s">
        <v>222</v>
      </c>
      <c r="T2" s="79" t="s">
        <v>31</v>
      </c>
      <c r="U2" s="79" t="s">
        <v>31</v>
      </c>
      <c r="V2" s="79" t="s">
        <v>31</v>
      </c>
      <c r="W2" s="79" t="s">
        <v>31</v>
      </c>
      <c r="X2" s="79" t="s">
        <v>31</v>
      </c>
      <c r="Y2" s="79" t="s">
        <v>223</v>
      </c>
      <c r="Z2" s="79" t="s">
        <v>224</v>
      </c>
      <c r="AA2" s="79" t="s">
        <v>1</v>
      </c>
      <c r="AG2" s="153" t="s">
        <v>1</v>
      </c>
      <c r="AJ2" s="79" t="s">
        <v>225</v>
      </c>
      <c r="AK2" s="79" t="s">
        <v>226</v>
      </c>
      <c r="AL2" s="79" t="s">
        <v>227</v>
      </c>
    </row>
    <row r="3" spans="1:38">
      <c r="B3" s="79" t="s">
        <v>228</v>
      </c>
      <c r="C3" s="79" t="s">
        <v>229</v>
      </c>
      <c r="D3" s="79" t="s">
        <v>230</v>
      </c>
      <c r="E3" s="79" t="s">
        <v>231</v>
      </c>
      <c r="F3" s="79" t="s">
        <v>232</v>
      </c>
      <c r="H3" s="79" t="s">
        <v>228</v>
      </c>
      <c r="I3" s="79" t="s">
        <v>229</v>
      </c>
      <c r="J3" s="79" t="s">
        <v>230</v>
      </c>
      <c r="K3" s="79" t="s">
        <v>231</v>
      </c>
      <c r="L3" s="79" t="s">
        <v>232</v>
      </c>
      <c r="N3" s="79" t="s">
        <v>228</v>
      </c>
      <c r="O3" s="79" t="s">
        <v>229</v>
      </c>
      <c r="P3" s="79" t="s">
        <v>230</v>
      </c>
      <c r="Q3" s="79" t="s">
        <v>231</v>
      </c>
      <c r="R3" s="79" t="s">
        <v>232</v>
      </c>
      <c r="T3" s="79" t="s">
        <v>228</v>
      </c>
      <c r="U3" s="79" t="s">
        <v>229</v>
      </c>
      <c r="V3" s="79" t="s">
        <v>230</v>
      </c>
      <c r="W3" s="79" t="s">
        <v>231</v>
      </c>
      <c r="X3" s="79" t="s">
        <v>232</v>
      </c>
      <c r="AA3" s="79" t="s">
        <v>228</v>
      </c>
      <c r="AB3" s="79" t="s">
        <v>229</v>
      </c>
      <c r="AC3" s="79" t="s">
        <v>230</v>
      </c>
      <c r="AD3" s="79" t="s">
        <v>231</v>
      </c>
      <c r="AE3" s="79" t="s">
        <v>324</v>
      </c>
      <c r="AF3" s="79" t="s">
        <v>232</v>
      </c>
      <c r="AJ3" s="154"/>
      <c r="AK3" s="154"/>
    </row>
    <row r="4" spans="1:38">
      <c r="A4" s="79" t="s">
        <v>72</v>
      </c>
      <c r="B4" s="79">
        <f>Budget_UNDP!M$11</f>
        <v>79911</v>
      </c>
      <c r="C4" s="79">
        <f>Budget_UNDP!M$24</f>
        <v>41125</v>
      </c>
      <c r="D4" s="79">
        <f>Budget_UNDP!M$35</f>
        <v>66224</v>
      </c>
      <c r="E4" s="79">
        <f>Budget_UNDP!M$45</f>
        <v>79610</v>
      </c>
      <c r="F4" s="79">
        <f>Budget_UNDP!M$57</f>
        <v>21709</v>
      </c>
      <c r="G4" s="155">
        <f t="shared" ref="G4:G5" si="0">SUM(B4:F4)</f>
        <v>288579</v>
      </c>
      <c r="H4" s="79">
        <f>Budget_UNDP!N$11</f>
        <v>55325</v>
      </c>
      <c r="I4" s="79">
        <f>Budget_UNDP!N$24</f>
        <v>275609</v>
      </c>
      <c r="J4" s="79">
        <f>Budget_UNDP!N$35</f>
        <v>36224</v>
      </c>
      <c r="K4" s="79">
        <f>Budget_UNDP!N$45</f>
        <v>57344</v>
      </c>
      <c r="L4" s="79">
        <f>Budget_UNDP!N$57</f>
        <v>20770</v>
      </c>
      <c r="M4" s="155">
        <f t="shared" ref="M4:M5" si="1">SUM(H4:L4)</f>
        <v>445272</v>
      </c>
      <c r="N4" s="79">
        <f>Budget_UNDP!O$11</f>
        <v>12705</v>
      </c>
      <c r="O4" s="79">
        <f>Budget_UNDP!O$24</f>
        <v>10797</v>
      </c>
      <c r="P4" s="79">
        <f>Budget_UNDP!O$35</f>
        <v>58224</v>
      </c>
      <c r="Q4" s="79">
        <f>Budget_UNDP!O$45</f>
        <v>0</v>
      </c>
      <c r="R4" s="79">
        <f>Budget_UNDP!O$57</f>
        <v>20596</v>
      </c>
      <c r="S4" s="155">
        <f t="shared" ref="S4:S5" si="2">SUM(N4:R4)</f>
        <v>102322</v>
      </c>
      <c r="T4" s="79">
        <f>Budget_UNDP!P$11</f>
        <v>17000</v>
      </c>
      <c r="U4" s="79">
        <f>Budget_UNDP!P$24</f>
        <v>3297</v>
      </c>
      <c r="V4" s="79">
        <f>Budget_UNDP!P$35</f>
        <v>5500</v>
      </c>
      <c r="W4" s="79">
        <f>Budget_UNDP!P$45</f>
        <v>42000</v>
      </c>
      <c r="X4" s="79">
        <f>Budget_UNDP!P$57</f>
        <v>20596</v>
      </c>
      <c r="Y4" s="155">
        <f t="shared" ref="Y4:Y5" si="3">SUM(T4:X4)</f>
        <v>88393</v>
      </c>
      <c r="Z4" s="155">
        <f>G4+M4+S4+Y4</f>
        <v>924566</v>
      </c>
      <c r="AA4" s="79">
        <f t="shared" ref="AA4:AD5" si="4">B4+H4+N4+T4</f>
        <v>164941</v>
      </c>
      <c r="AB4" s="79">
        <f t="shared" si="4"/>
        <v>330828</v>
      </c>
      <c r="AC4" s="79">
        <f t="shared" si="4"/>
        <v>166172</v>
      </c>
      <c r="AD4" s="79">
        <f t="shared" si="4"/>
        <v>178954</v>
      </c>
      <c r="AE4" s="79">
        <f>SUM(AA4:AD4)</f>
        <v>840895</v>
      </c>
      <c r="AF4" s="79">
        <f>F4+L4+R4+X4</f>
        <v>83671</v>
      </c>
      <c r="AG4" s="153">
        <f>SUM(AE4:AF4)</f>
        <v>924566</v>
      </c>
      <c r="AH4" s="79">
        <f>AE4+AF4</f>
        <v>924566</v>
      </c>
      <c r="AJ4" s="79">
        <f>AB4-AK4</f>
        <v>65627</v>
      </c>
      <c r="AK4" s="164">
        <v>265201</v>
      </c>
      <c r="AL4" s="79">
        <f>AJ4+AK4</f>
        <v>330828</v>
      </c>
    </row>
    <row r="5" spans="1:38">
      <c r="A5" s="79" t="s">
        <v>233</v>
      </c>
      <c r="B5" s="79">
        <f>Budget_UNDP!M$14</f>
        <v>19400</v>
      </c>
      <c r="C5" s="79">
        <f>Budget_UNDP!M$29</f>
        <v>21315</v>
      </c>
      <c r="D5" s="79">
        <f>Budget_UNDP!M$37</f>
        <v>0</v>
      </c>
      <c r="E5" s="79">
        <f>Budget_UNDP!M$52</f>
        <v>69500</v>
      </c>
      <c r="F5" s="79">
        <f>Budget_UNDP!M$61</f>
        <v>32576</v>
      </c>
      <c r="G5" s="155">
        <f t="shared" si="0"/>
        <v>142791</v>
      </c>
      <c r="H5" s="79">
        <f>Budget_UNDP!N$14</f>
        <v>9600</v>
      </c>
      <c r="I5" s="79">
        <f>Budget_UNDP!N$29</f>
        <v>197034</v>
      </c>
      <c r="J5" s="79">
        <f>Budget_UNDP!N$37</f>
        <v>0</v>
      </c>
      <c r="K5" s="79">
        <f>Budget_UNDP!N$52</f>
        <v>46500</v>
      </c>
      <c r="L5" s="79">
        <f>Budget_UNDP!N$61</f>
        <v>25402</v>
      </c>
      <c r="M5" s="155">
        <f t="shared" si="1"/>
        <v>278536</v>
      </c>
      <c r="N5" s="79">
        <f>Budget_UNDP!O$14</f>
        <v>2800</v>
      </c>
      <c r="O5" s="79">
        <f>Budget_UNDP!O$29</f>
        <v>228409</v>
      </c>
      <c r="P5" s="79">
        <f>Budget_UNDP!O$37</f>
        <v>20000</v>
      </c>
      <c r="Q5" s="79">
        <f>Budget_UNDP!O$52</f>
        <v>5000</v>
      </c>
      <c r="R5" s="79">
        <f>Budget_UNDP!O$61</f>
        <v>25576</v>
      </c>
      <c r="S5" s="155">
        <f t="shared" si="2"/>
        <v>281785</v>
      </c>
      <c r="T5" s="79">
        <f>Budget_UNDP!P$14</f>
        <v>0</v>
      </c>
      <c r="U5" s="79">
        <f>Budget_UNDP!P$29</f>
        <v>6312</v>
      </c>
      <c r="V5" s="79">
        <f>Budget_UNDP!P$37</f>
        <v>20000</v>
      </c>
      <c r="W5" s="79">
        <f>Budget_UNDP!P$52</f>
        <v>45000</v>
      </c>
      <c r="X5" s="79">
        <f>Budget_UNDP!P$61</f>
        <v>25576</v>
      </c>
      <c r="Y5" s="155">
        <f t="shared" si="3"/>
        <v>96888</v>
      </c>
      <c r="Z5" s="155">
        <f t="shared" ref="Z5:Z18" si="5">G5+M5+S5+Y5</f>
        <v>800000</v>
      </c>
      <c r="AA5" s="79">
        <f t="shared" si="4"/>
        <v>31800</v>
      </c>
      <c r="AB5" s="79">
        <f t="shared" si="4"/>
        <v>453070</v>
      </c>
      <c r="AC5" s="79">
        <f t="shared" si="4"/>
        <v>40000</v>
      </c>
      <c r="AD5" s="79">
        <f t="shared" si="4"/>
        <v>166000</v>
      </c>
      <c r="AE5" s="79">
        <f t="shared" ref="AE5:AE18" si="6">SUM(AA5:AD5)</f>
        <v>690870</v>
      </c>
      <c r="AF5" s="79">
        <f>F5+L5+R5+X5</f>
        <v>109130</v>
      </c>
      <c r="AG5" s="153">
        <f t="shared" ref="AG5:AG6" si="7">SUM(AE5:AF5)</f>
        <v>800000</v>
      </c>
      <c r="AJ5" s="79">
        <f>AB5-AK5</f>
        <v>40921</v>
      </c>
      <c r="AK5" s="164">
        <v>412149</v>
      </c>
      <c r="AL5" s="79">
        <f t="shared" ref="AL5:AL18" si="8">AJ5+AK5</f>
        <v>453070</v>
      </c>
    </row>
    <row r="6" spans="1:38" s="155" customFormat="1">
      <c r="A6" s="155" t="s">
        <v>234</v>
      </c>
      <c r="B6" s="155">
        <f>B4+B5</f>
        <v>99311</v>
      </c>
      <c r="C6" s="155">
        <f t="shared" ref="C6:AF6" si="9">C4+C5</f>
        <v>62440</v>
      </c>
      <c r="D6" s="155">
        <f t="shared" si="9"/>
        <v>66224</v>
      </c>
      <c r="E6" s="155">
        <f t="shared" si="9"/>
        <v>149110</v>
      </c>
      <c r="F6" s="155">
        <f t="shared" si="9"/>
        <v>54285</v>
      </c>
      <c r="G6" s="155">
        <f>SUM(B6:F6)</f>
        <v>431370</v>
      </c>
      <c r="H6" s="155">
        <f t="shared" si="9"/>
        <v>64925</v>
      </c>
      <c r="I6" s="155">
        <f t="shared" si="9"/>
        <v>472643</v>
      </c>
      <c r="J6" s="155">
        <f t="shared" si="9"/>
        <v>36224</v>
      </c>
      <c r="K6" s="155">
        <f t="shared" si="9"/>
        <v>103844</v>
      </c>
      <c r="L6" s="155">
        <f t="shared" si="9"/>
        <v>46172</v>
      </c>
      <c r="M6" s="155">
        <f>SUM(H6:L6)</f>
        <v>723808</v>
      </c>
      <c r="N6" s="155">
        <f t="shared" si="9"/>
        <v>15505</v>
      </c>
      <c r="O6" s="155">
        <f t="shared" si="9"/>
        <v>239206</v>
      </c>
      <c r="P6" s="155">
        <f t="shared" si="9"/>
        <v>78224</v>
      </c>
      <c r="Q6" s="155">
        <f t="shared" si="9"/>
        <v>5000</v>
      </c>
      <c r="R6" s="155">
        <f t="shared" si="9"/>
        <v>46172</v>
      </c>
      <c r="S6" s="155">
        <f>SUM(N6:R6)</f>
        <v>384107</v>
      </c>
      <c r="T6" s="155">
        <f t="shared" si="9"/>
        <v>17000</v>
      </c>
      <c r="U6" s="155">
        <f t="shared" si="9"/>
        <v>9609</v>
      </c>
      <c r="V6" s="155">
        <f t="shared" si="9"/>
        <v>25500</v>
      </c>
      <c r="W6" s="155">
        <f t="shared" si="9"/>
        <v>87000</v>
      </c>
      <c r="X6" s="155">
        <f t="shared" si="9"/>
        <v>46172</v>
      </c>
      <c r="Y6" s="155">
        <f>SUM(T6:X6)</f>
        <v>185281</v>
      </c>
      <c r="Z6" s="155">
        <f t="shared" si="5"/>
        <v>1724566</v>
      </c>
      <c r="AA6" s="156">
        <f t="shared" si="9"/>
        <v>196741</v>
      </c>
      <c r="AB6" s="156">
        <f t="shared" si="9"/>
        <v>783898</v>
      </c>
      <c r="AC6" s="156">
        <f t="shared" si="9"/>
        <v>206172</v>
      </c>
      <c r="AD6" s="156">
        <f t="shared" si="9"/>
        <v>344954</v>
      </c>
      <c r="AE6" s="79">
        <f t="shared" si="6"/>
        <v>1531765</v>
      </c>
      <c r="AF6" s="156">
        <f t="shared" si="9"/>
        <v>192801</v>
      </c>
      <c r="AG6" s="153">
        <f t="shared" si="7"/>
        <v>1724566</v>
      </c>
      <c r="AJ6" s="156">
        <f t="shared" ref="AJ6:AK6" si="10">AJ4+AJ5</f>
        <v>106548</v>
      </c>
      <c r="AK6" s="156">
        <f t="shared" si="10"/>
        <v>677350</v>
      </c>
      <c r="AL6" s="79">
        <f t="shared" si="8"/>
        <v>783898</v>
      </c>
    </row>
    <row r="7" spans="1:38" s="155" customFormat="1">
      <c r="A7" s="155" t="s">
        <v>235</v>
      </c>
      <c r="G7" s="157">
        <f>G6/$Z6</f>
        <v>0.25013249710361912</v>
      </c>
      <c r="H7" s="157"/>
      <c r="I7" s="157"/>
      <c r="J7" s="157"/>
      <c r="K7" s="157"/>
      <c r="L7" s="157"/>
      <c r="M7" s="157">
        <f>M6/Z6</f>
        <v>0.41970443578268385</v>
      </c>
      <c r="N7" s="157"/>
      <c r="O7" s="157"/>
      <c r="P7" s="157"/>
      <c r="Q7" s="157"/>
      <c r="R7" s="157"/>
      <c r="S7" s="157">
        <f>S6/Z6</f>
        <v>0.2227267613996797</v>
      </c>
      <c r="T7" s="157"/>
      <c r="U7" s="157"/>
      <c r="V7" s="157"/>
      <c r="W7" s="157"/>
      <c r="X7" s="157"/>
      <c r="Y7" s="157">
        <f>Y6/Z6</f>
        <v>0.10743630571401733</v>
      </c>
      <c r="Z7" s="159">
        <f t="shared" si="5"/>
        <v>1</v>
      </c>
      <c r="AA7" s="158">
        <f>AA6/$AG$6</f>
        <v>0.11408145585614003</v>
      </c>
      <c r="AB7" s="158">
        <f>AB6/$AG$6</f>
        <v>0.4545479848263273</v>
      </c>
      <c r="AC7" s="158">
        <f>AC6/$AG$6</f>
        <v>0.11955007810660769</v>
      </c>
      <c r="AD7" s="158">
        <f>AD6/$AG$6</f>
        <v>0.20002365812616044</v>
      </c>
      <c r="AE7" s="79">
        <f t="shared" si="6"/>
        <v>0.88820317691523543</v>
      </c>
      <c r="AF7" s="158">
        <f>AF6/$AG$6</f>
        <v>0.11179682308476452</v>
      </c>
      <c r="AG7" s="158">
        <f>AG6/$AG$6</f>
        <v>1</v>
      </c>
      <c r="AJ7" s="159">
        <f>(AJ4+AJ5)/(AL4+AL5)</f>
        <v>0.13592074479077634</v>
      </c>
      <c r="AK7" s="159">
        <f>(AK4+AK5)/(AL4+AL5)</f>
        <v>0.86407925520922368</v>
      </c>
      <c r="AL7" s="79">
        <f t="shared" si="8"/>
        <v>1</v>
      </c>
    </row>
    <row r="8" spans="1:38">
      <c r="A8" s="79" t="s">
        <v>236</v>
      </c>
      <c r="B8" s="79">
        <f t="shared" ref="B8:F15" si="11">$H25*$G$7*B25</f>
        <v>156147.73765515498</v>
      </c>
      <c r="C8" s="79">
        <f t="shared" si="11"/>
        <v>312295.47531030996</v>
      </c>
      <c r="D8" s="79">
        <f t="shared" si="11"/>
        <v>0</v>
      </c>
      <c r="E8" s="79">
        <f t="shared" si="11"/>
        <v>26024.622942525832</v>
      </c>
      <c r="F8" s="79">
        <f t="shared" si="11"/>
        <v>26024.622942525832</v>
      </c>
      <c r="G8" s="160">
        <f>SUM(B8:F8)</f>
        <v>520492.45885051659</v>
      </c>
      <c r="H8" s="79">
        <f t="shared" ref="H8:L15" si="12">$H25*$M$7*B25</f>
        <v>262004.73305214179</v>
      </c>
      <c r="I8" s="79">
        <f t="shared" si="12"/>
        <v>524009.46610428358</v>
      </c>
      <c r="J8" s="79">
        <f t="shared" si="12"/>
        <v>0</v>
      </c>
      <c r="K8" s="79">
        <f t="shared" si="12"/>
        <v>43667.455508690298</v>
      </c>
      <c r="L8" s="79">
        <f t="shared" si="12"/>
        <v>43667.455508690298</v>
      </c>
      <c r="M8" s="160">
        <f>SUM(H8:L8)</f>
        <v>873349.11017380608</v>
      </c>
      <c r="N8" s="79">
        <f t="shared" ref="N8:R15" si="13">$H25*$S$7*B25</f>
        <v>139039.43034404019</v>
      </c>
      <c r="O8" s="79">
        <f t="shared" si="13"/>
        <v>278078.86068808037</v>
      </c>
      <c r="P8" s="79">
        <f t="shared" si="13"/>
        <v>0</v>
      </c>
      <c r="Q8" s="79">
        <f t="shared" si="13"/>
        <v>23173.238390673367</v>
      </c>
      <c r="R8" s="79">
        <f t="shared" si="13"/>
        <v>23173.238390673367</v>
      </c>
      <c r="S8" s="160">
        <f t="shared" ref="S8:S15" si="14">SUM(N8:R8)</f>
        <v>463464.7678134673</v>
      </c>
      <c r="T8" s="79">
        <f t="shared" ref="T8:X15" si="15">$H25*$Y$7*B25</f>
        <v>67068.198948663019</v>
      </c>
      <c r="U8" s="79">
        <f t="shared" si="15"/>
        <v>134136.39789732604</v>
      </c>
      <c r="V8" s="79">
        <f t="shared" si="15"/>
        <v>0</v>
      </c>
      <c r="W8" s="79">
        <f t="shared" si="15"/>
        <v>11178.033158110506</v>
      </c>
      <c r="X8" s="79">
        <f t="shared" si="15"/>
        <v>11178.033158110506</v>
      </c>
      <c r="Y8" s="160">
        <f t="shared" ref="Y8:Y15" si="16">SUM(T8:X8)</f>
        <v>223560.66316221008</v>
      </c>
      <c r="Z8" s="161">
        <f t="shared" si="5"/>
        <v>2080867</v>
      </c>
      <c r="AA8" s="79">
        <f t="shared" ref="AA8:AD15" si="17">B8+H8+N8+T8</f>
        <v>624260.09999999986</v>
      </c>
      <c r="AB8" s="79">
        <f t="shared" si="17"/>
        <v>1248520.1999999997</v>
      </c>
      <c r="AC8" s="79">
        <f t="shared" si="17"/>
        <v>0</v>
      </c>
      <c r="AD8" s="79">
        <f t="shared" si="17"/>
        <v>104043.35</v>
      </c>
      <c r="AE8" s="79">
        <f t="shared" si="6"/>
        <v>1976823.6499999997</v>
      </c>
      <c r="AF8" s="79">
        <f t="shared" ref="AF8:AF15" si="18">F8+L8+R8+X8</f>
        <v>104043.35</v>
      </c>
      <c r="AG8" s="153">
        <f t="shared" ref="AG8:AG18" si="19">SUM(AE8:AF8)</f>
        <v>2080866.9999999998</v>
      </c>
      <c r="AJ8" s="79">
        <f>$AB8*$AJ$7</f>
        <v>169699.795470329</v>
      </c>
      <c r="AK8" s="79">
        <f>$AB8*$AK$7</f>
        <v>1078820.4045296707</v>
      </c>
      <c r="AL8" s="79">
        <f t="shared" si="8"/>
        <v>1248520.1999999997</v>
      </c>
    </row>
    <row r="9" spans="1:38" s="154" customFormat="1">
      <c r="A9" s="154" t="s">
        <v>237</v>
      </c>
      <c r="B9" s="79">
        <f t="shared" si="11"/>
        <v>234124.0172889875</v>
      </c>
      <c r="C9" s="79">
        <f t="shared" si="11"/>
        <v>1820964.5789143471</v>
      </c>
      <c r="D9" s="79">
        <f t="shared" si="11"/>
        <v>0</v>
      </c>
      <c r="E9" s="79">
        <f t="shared" si="11"/>
        <v>546289.37367430411</v>
      </c>
      <c r="F9" s="79">
        <f t="shared" si="11"/>
        <v>0</v>
      </c>
      <c r="G9" s="160">
        <f t="shared" ref="G9:G15" si="20">SUM(B9:F9)</f>
        <v>2601377.9698776389</v>
      </c>
      <c r="H9" s="79">
        <f t="shared" si="12"/>
        <v>392843.35189259204</v>
      </c>
      <c r="I9" s="79">
        <f t="shared" si="12"/>
        <v>3055448.292497938</v>
      </c>
      <c r="J9" s="79">
        <f t="shared" si="12"/>
        <v>0</v>
      </c>
      <c r="K9" s="79">
        <f t="shared" si="12"/>
        <v>916634.48774938146</v>
      </c>
      <c r="L9" s="79">
        <f t="shared" si="12"/>
        <v>0</v>
      </c>
      <c r="M9" s="160">
        <f t="shared" ref="M9:M15" si="21">SUM(H9:L9)</f>
        <v>4364926.1321399119</v>
      </c>
      <c r="N9" s="79">
        <f t="shared" si="13"/>
        <v>208472.24867010018</v>
      </c>
      <c r="O9" s="79">
        <f t="shared" si="13"/>
        <v>1621450.822989668</v>
      </c>
      <c r="P9" s="79">
        <f t="shared" si="13"/>
        <v>0</v>
      </c>
      <c r="Q9" s="79">
        <f t="shared" si="13"/>
        <v>486435.24689690041</v>
      </c>
      <c r="R9" s="79">
        <f t="shared" si="13"/>
        <v>0</v>
      </c>
      <c r="S9" s="160">
        <f t="shared" si="14"/>
        <v>2316358.3185566687</v>
      </c>
      <c r="T9" s="79">
        <f t="shared" si="15"/>
        <v>100560.3821483202</v>
      </c>
      <c r="U9" s="79">
        <f t="shared" si="15"/>
        <v>782136.30559804605</v>
      </c>
      <c r="V9" s="79">
        <f t="shared" si="15"/>
        <v>0</v>
      </c>
      <c r="W9" s="79">
        <f t="shared" si="15"/>
        <v>234640.89167941382</v>
      </c>
      <c r="X9" s="79">
        <f t="shared" si="15"/>
        <v>0</v>
      </c>
      <c r="Y9" s="160">
        <f t="shared" si="16"/>
        <v>1117337.5794257801</v>
      </c>
      <c r="Z9" s="161">
        <f t="shared" si="5"/>
        <v>10400000</v>
      </c>
      <c r="AA9" s="79">
        <f t="shared" si="17"/>
        <v>935999.99999999988</v>
      </c>
      <c r="AB9" s="79">
        <f t="shared" si="17"/>
        <v>7279999.9999999981</v>
      </c>
      <c r="AC9" s="79">
        <f t="shared" si="17"/>
        <v>0</v>
      </c>
      <c r="AD9" s="79">
        <f t="shared" si="17"/>
        <v>2184000</v>
      </c>
      <c r="AE9" s="79">
        <f t="shared" si="6"/>
        <v>10399999.999999998</v>
      </c>
      <c r="AF9" s="79">
        <f t="shared" si="18"/>
        <v>0</v>
      </c>
      <c r="AG9" s="153">
        <f t="shared" si="19"/>
        <v>10399999.999999998</v>
      </c>
      <c r="AJ9" s="79">
        <f t="shared" ref="AJ9:AJ15" si="22">$AB9*$AJ$7</f>
        <v>989503.02207685157</v>
      </c>
      <c r="AK9" s="79">
        <f t="shared" ref="AK9:AK15" si="23">$AB9*$AK$7</f>
        <v>6290496.9779231464</v>
      </c>
      <c r="AL9" s="79">
        <f t="shared" si="8"/>
        <v>7279999.9999999981</v>
      </c>
    </row>
    <row r="10" spans="1:38" s="154" customFormat="1">
      <c r="A10" s="154" t="s">
        <v>238</v>
      </c>
      <c r="B10" s="79">
        <f t="shared" si="11"/>
        <v>0</v>
      </c>
      <c r="C10" s="79">
        <f t="shared" si="11"/>
        <v>11398537.893011922</v>
      </c>
      <c r="D10" s="79">
        <f t="shared" si="11"/>
        <v>0</v>
      </c>
      <c r="E10" s="79">
        <f t="shared" si="11"/>
        <v>4885087.6684336811</v>
      </c>
      <c r="F10" s="79">
        <f t="shared" si="11"/>
        <v>0</v>
      </c>
      <c r="G10" s="160">
        <f t="shared" si="20"/>
        <v>16283625.561445603</v>
      </c>
      <c r="H10" s="79">
        <f t="shared" si="12"/>
        <v>0</v>
      </c>
      <c r="I10" s="79">
        <f t="shared" si="12"/>
        <v>19125931.138616901</v>
      </c>
      <c r="J10" s="79">
        <f t="shared" si="12"/>
        <v>0</v>
      </c>
      <c r="K10" s="79">
        <f t="shared" si="12"/>
        <v>8196827.6308358144</v>
      </c>
      <c r="L10" s="79">
        <f t="shared" si="12"/>
        <v>0</v>
      </c>
      <c r="M10" s="160">
        <f t="shared" si="21"/>
        <v>27322758.769452713</v>
      </c>
      <c r="N10" s="79">
        <f t="shared" si="13"/>
        <v>0</v>
      </c>
      <c r="O10" s="79">
        <f t="shared" si="13"/>
        <v>10149658.516983403</v>
      </c>
      <c r="P10" s="79">
        <f t="shared" si="13"/>
        <v>0</v>
      </c>
      <c r="Q10" s="79">
        <f t="shared" si="13"/>
        <v>4349853.6501357444</v>
      </c>
      <c r="R10" s="79">
        <f t="shared" si="13"/>
        <v>0</v>
      </c>
      <c r="S10" s="160">
        <f t="shared" si="14"/>
        <v>14499512.167119147</v>
      </c>
      <c r="T10" s="79">
        <f t="shared" si="15"/>
        <v>0</v>
      </c>
      <c r="U10" s="79">
        <f t="shared" si="15"/>
        <v>4895872.4513877695</v>
      </c>
      <c r="V10" s="79">
        <f t="shared" si="15"/>
        <v>0</v>
      </c>
      <c r="W10" s="79">
        <f t="shared" si="15"/>
        <v>2098231.0505947582</v>
      </c>
      <c r="X10" s="79">
        <f t="shared" si="15"/>
        <v>0</v>
      </c>
      <c r="Y10" s="160">
        <f t="shared" si="16"/>
        <v>6994103.5019825278</v>
      </c>
      <c r="Z10" s="161">
        <f t="shared" si="5"/>
        <v>65099999.999999985</v>
      </c>
      <c r="AA10" s="79">
        <f t="shared" si="17"/>
        <v>0</v>
      </c>
      <c r="AB10" s="79">
        <f t="shared" si="17"/>
        <v>45570000</v>
      </c>
      <c r="AC10" s="79">
        <f t="shared" si="17"/>
        <v>0</v>
      </c>
      <c r="AD10" s="79">
        <f t="shared" si="17"/>
        <v>19529999.999999996</v>
      </c>
      <c r="AE10" s="79">
        <f t="shared" si="6"/>
        <v>65100000</v>
      </c>
      <c r="AF10" s="79">
        <f t="shared" si="18"/>
        <v>0</v>
      </c>
      <c r="AG10" s="153">
        <f t="shared" si="19"/>
        <v>65100000</v>
      </c>
      <c r="AJ10" s="79">
        <f t="shared" si="22"/>
        <v>6193908.3401156776</v>
      </c>
      <c r="AK10" s="79">
        <f t="shared" si="23"/>
        <v>39376091.659884326</v>
      </c>
      <c r="AL10" s="79">
        <f t="shared" si="8"/>
        <v>45570000</v>
      </c>
    </row>
    <row r="11" spans="1:38">
      <c r="A11" s="154" t="s">
        <v>239</v>
      </c>
      <c r="B11" s="79">
        <f t="shared" si="11"/>
        <v>605322.42965145176</v>
      </c>
      <c r="C11" s="79">
        <f t="shared" si="11"/>
        <v>1815967.2889543555</v>
      </c>
      <c r="D11" s="79">
        <f t="shared" si="11"/>
        <v>564967.60100802174</v>
      </c>
      <c r="E11" s="79">
        <f t="shared" si="11"/>
        <v>847451.40151203237</v>
      </c>
      <c r="F11" s="79">
        <f t="shared" si="11"/>
        <v>201774.14321715062</v>
      </c>
      <c r="G11" s="160">
        <f t="shared" si="20"/>
        <v>4035482.8643430118</v>
      </c>
      <c r="H11" s="79">
        <f t="shared" si="12"/>
        <v>1015687.7324829218</v>
      </c>
      <c r="I11" s="79">
        <f t="shared" si="12"/>
        <v>3047063.1974487654</v>
      </c>
      <c r="J11" s="79">
        <f t="shared" si="12"/>
        <v>947975.21698406048</v>
      </c>
      <c r="K11" s="79">
        <f t="shared" si="12"/>
        <v>1421962.8254760904</v>
      </c>
      <c r="L11" s="79">
        <f t="shared" si="12"/>
        <v>338562.5774943073</v>
      </c>
      <c r="M11" s="160">
        <f t="shared" si="21"/>
        <v>6771251.5498861456</v>
      </c>
      <c r="N11" s="79">
        <f t="shared" si="13"/>
        <v>539000.35349266347</v>
      </c>
      <c r="O11" s="79">
        <f t="shared" si="13"/>
        <v>1617001.0604779904</v>
      </c>
      <c r="P11" s="79">
        <f t="shared" si="13"/>
        <v>503066.99659315258</v>
      </c>
      <c r="Q11" s="79">
        <f t="shared" si="13"/>
        <v>754600.49488972872</v>
      </c>
      <c r="R11" s="79">
        <f t="shared" si="13"/>
        <v>179666.7844975545</v>
      </c>
      <c r="S11" s="160">
        <f t="shared" si="14"/>
        <v>3593335.6899510897</v>
      </c>
      <c r="T11" s="79">
        <f t="shared" si="15"/>
        <v>259996.62723010557</v>
      </c>
      <c r="U11" s="79">
        <f t="shared" si="15"/>
        <v>779989.88169031683</v>
      </c>
      <c r="V11" s="79">
        <f t="shared" si="15"/>
        <v>242663.51874809858</v>
      </c>
      <c r="W11" s="79">
        <f t="shared" si="15"/>
        <v>363995.27812214778</v>
      </c>
      <c r="X11" s="79">
        <f t="shared" si="15"/>
        <v>86665.54241003521</v>
      </c>
      <c r="Y11" s="160">
        <f t="shared" si="16"/>
        <v>1733310.848200704</v>
      </c>
      <c r="Z11" s="161">
        <f t="shared" si="5"/>
        <v>16133380.952380951</v>
      </c>
      <c r="AA11" s="79">
        <f t="shared" si="17"/>
        <v>2420007.1428571423</v>
      </c>
      <c r="AB11" s="79">
        <f t="shared" si="17"/>
        <v>7260021.4285714282</v>
      </c>
      <c r="AC11" s="79">
        <f t="shared" si="17"/>
        <v>2258673.3333333335</v>
      </c>
      <c r="AD11" s="79">
        <f t="shared" si="17"/>
        <v>3388009.9999999991</v>
      </c>
      <c r="AE11" s="79">
        <f t="shared" si="6"/>
        <v>15326711.904761903</v>
      </c>
      <c r="AF11" s="79">
        <f t="shared" si="18"/>
        <v>806669.04761904757</v>
      </c>
      <c r="AG11" s="153">
        <f t="shared" si="19"/>
        <v>16133380.952380951</v>
      </c>
      <c r="AJ11" s="79">
        <f t="shared" si="22"/>
        <v>986787.51976842456</v>
      </c>
      <c r="AK11" s="79">
        <f t="shared" si="23"/>
        <v>6273233.9088030038</v>
      </c>
      <c r="AL11" s="79">
        <f t="shared" si="8"/>
        <v>7260021.4285714282</v>
      </c>
    </row>
    <row r="12" spans="1:38">
      <c r="A12" s="154" t="s">
        <v>240</v>
      </c>
      <c r="B12" s="79">
        <f t="shared" si="11"/>
        <v>223618.45241063551</v>
      </c>
      <c r="C12" s="79">
        <f t="shared" si="11"/>
        <v>670855.3572319065</v>
      </c>
      <c r="D12" s="79">
        <f t="shared" si="11"/>
        <v>208710.55558325982</v>
      </c>
      <c r="E12" s="79">
        <f t="shared" si="11"/>
        <v>313065.83337488963</v>
      </c>
      <c r="F12" s="79">
        <f t="shared" si="11"/>
        <v>74539.484136878498</v>
      </c>
      <c r="G12" s="160">
        <f t="shared" si="20"/>
        <v>1490789.68273757</v>
      </c>
      <c r="H12" s="79">
        <f t="shared" si="12"/>
        <v>375215.76558971935</v>
      </c>
      <c r="I12" s="79">
        <f t="shared" si="12"/>
        <v>1125647.2967691582</v>
      </c>
      <c r="J12" s="79">
        <f t="shared" si="12"/>
        <v>350201.38121707144</v>
      </c>
      <c r="K12" s="79">
        <f t="shared" si="12"/>
        <v>525302.0718256071</v>
      </c>
      <c r="L12" s="79">
        <f t="shared" si="12"/>
        <v>125071.9218632398</v>
      </c>
      <c r="M12" s="160">
        <f t="shared" si="21"/>
        <v>2501438.4372647959</v>
      </c>
      <c r="N12" s="79">
        <f t="shared" si="13"/>
        <v>199117.72469131363</v>
      </c>
      <c r="O12" s="79">
        <f t="shared" si="13"/>
        <v>597353.17407394096</v>
      </c>
      <c r="P12" s="79">
        <f t="shared" si="13"/>
        <v>185843.20971189276</v>
      </c>
      <c r="Q12" s="79">
        <f t="shared" si="13"/>
        <v>278764.81456783903</v>
      </c>
      <c r="R12" s="79">
        <f t="shared" si="13"/>
        <v>66372.574897104554</v>
      </c>
      <c r="S12" s="160">
        <f t="shared" si="14"/>
        <v>1327451.497942091</v>
      </c>
      <c r="T12" s="79">
        <f t="shared" si="15"/>
        <v>96048.057308331481</v>
      </c>
      <c r="U12" s="79">
        <f t="shared" si="15"/>
        <v>288144.17192499444</v>
      </c>
      <c r="V12" s="79">
        <f t="shared" si="15"/>
        <v>89644.853487776069</v>
      </c>
      <c r="W12" s="79">
        <f t="shared" si="15"/>
        <v>134467.28023166404</v>
      </c>
      <c r="X12" s="79">
        <f t="shared" si="15"/>
        <v>32016.019102777165</v>
      </c>
      <c r="Y12" s="160">
        <f t="shared" si="16"/>
        <v>640320.38205554313</v>
      </c>
      <c r="Z12" s="161">
        <f t="shared" si="5"/>
        <v>5960000</v>
      </c>
      <c r="AA12" s="79">
        <f t="shared" si="17"/>
        <v>893999.99999999988</v>
      </c>
      <c r="AB12" s="79">
        <f t="shared" si="17"/>
        <v>2682000</v>
      </c>
      <c r="AC12" s="79">
        <f t="shared" si="17"/>
        <v>834400</v>
      </c>
      <c r="AD12" s="79">
        <f t="shared" si="17"/>
        <v>1251599.9999999998</v>
      </c>
      <c r="AE12" s="79">
        <f t="shared" si="6"/>
        <v>5662000</v>
      </c>
      <c r="AF12" s="79">
        <f t="shared" si="18"/>
        <v>298000.00000000006</v>
      </c>
      <c r="AG12" s="153">
        <f t="shared" si="19"/>
        <v>5960000</v>
      </c>
      <c r="AJ12" s="79">
        <f t="shared" si="22"/>
        <v>364539.43752886215</v>
      </c>
      <c r="AK12" s="79">
        <f t="shared" si="23"/>
        <v>2317460.5624711378</v>
      </c>
      <c r="AL12" s="79">
        <f t="shared" si="8"/>
        <v>2682000</v>
      </c>
    </row>
    <row r="13" spans="1:38">
      <c r="A13" s="154" t="s">
        <v>241</v>
      </c>
      <c r="B13" s="79">
        <f t="shared" si="11"/>
        <v>18759.937282771432</v>
      </c>
      <c r="C13" s="79">
        <f t="shared" si="11"/>
        <v>56279.811848314304</v>
      </c>
      <c r="D13" s="79">
        <f t="shared" si="11"/>
        <v>17509.27479725334</v>
      </c>
      <c r="E13" s="79">
        <f t="shared" si="11"/>
        <v>26263.912195880002</v>
      </c>
      <c r="F13" s="79">
        <f t="shared" si="11"/>
        <v>6253.3124275904784</v>
      </c>
      <c r="G13" s="160">
        <f t="shared" si="20"/>
        <v>125066.24855180955</v>
      </c>
      <c r="H13" s="79">
        <f t="shared" si="12"/>
        <v>31477.832683701286</v>
      </c>
      <c r="I13" s="79">
        <f t="shared" si="12"/>
        <v>94433.498051103859</v>
      </c>
      <c r="J13" s="79">
        <f t="shared" si="12"/>
        <v>29379.310504787871</v>
      </c>
      <c r="K13" s="79">
        <f t="shared" si="12"/>
        <v>44068.965757181795</v>
      </c>
      <c r="L13" s="79">
        <f t="shared" si="12"/>
        <v>10492.610894567097</v>
      </c>
      <c r="M13" s="160">
        <f t="shared" si="21"/>
        <v>209852.21789134189</v>
      </c>
      <c r="N13" s="79">
        <f t="shared" si="13"/>
        <v>16704.507104975975</v>
      </c>
      <c r="O13" s="79">
        <f t="shared" si="13"/>
        <v>50113.521314927937</v>
      </c>
      <c r="P13" s="79">
        <f t="shared" si="13"/>
        <v>15590.873297977581</v>
      </c>
      <c r="Q13" s="79">
        <f t="shared" si="13"/>
        <v>23386.309946966365</v>
      </c>
      <c r="R13" s="79">
        <f t="shared" si="13"/>
        <v>5568.1690349919927</v>
      </c>
      <c r="S13" s="160">
        <f t="shared" si="14"/>
        <v>111363.38069983985</v>
      </c>
      <c r="T13" s="79">
        <f t="shared" si="15"/>
        <v>8057.7229285512994</v>
      </c>
      <c r="U13" s="79">
        <f t="shared" si="15"/>
        <v>24173.168785653899</v>
      </c>
      <c r="V13" s="79">
        <f t="shared" si="15"/>
        <v>7520.5413999812145</v>
      </c>
      <c r="W13" s="79">
        <f t="shared" si="15"/>
        <v>11280.812099971818</v>
      </c>
      <c r="X13" s="79">
        <f t="shared" si="15"/>
        <v>2685.9076428504336</v>
      </c>
      <c r="Y13" s="160">
        <f t="shared" si="16"/>
        <v>53718.152857008659</v>
      </c>
      <c r="Z13" s="161">
        <f t="shared" si="5"/>
        <v>500000</v>
      </c>
      <c r="AA13" s="79">
        <f t="shared" si="17"/>
        <v>75000</v>
      </c>
      <c r="AB13" s="79">
        <f t="shared" si="17"/>
        <v>224999.99999999997</v>
      </c>
      <c r="AC13" s="79">
        <f t="shared" si="17"/>
        <v>70000</v>
      </c>
      <c r="AD13" s="79">
        <f t="shared" si="17"/>
        <v>104999.99999999999</v>
      </c>
      <c r="AE13" s="79">
        <f t="shared" si="6"/>
        <v>475000</v>
      </c>
      <c r="AF13" s="79">
        <f t="shared" si="18"/>
        <v>25000</v>
      </c>
      <c r="AG13" s="153">
        <f t="shared" si="19"/>
        <v>500000</v>
      </c>
      <c r="AJ13" s="79">
        <f t="shared" si="22"/>
        <v>30582.167577924673</v>
      </c>
      <c r="AK13" s="79">
        <f t="shared" si="23"/>
        <v>194417.8324220753</v>
      </c>
      <c r="AL13" s="79">
        <f t="shared" si="8"/>
        <v>224999.99999999997</v>
      </c>
    </row>
    <row r="14" spans="1:38">
      <c r="A14" s="154" t="s">
        <v>242</v>
      </c>
      <c r="B14" s="79">
        <f t="shared" si="11"/>
        <v>109520.32625744681</v>
      </c>
      <c r="C14" s="79">
        <f t="shared" si="11"/>
        <v>328560.97877234046</v>
      </c>
      <c r="D14" s="79">
        <f t="shared" si="11"/>
        <v>102218.97117361703</v>
      </c>
      <c r="E14" s="79">
        <f t="shared" si="11"/>
        <v>153328.4567604255</v>
      </c>
      <c r="F14" s="79">
        <f t="shared" si="11"/>
        <v>36506.775419148937</v>
      </c>
      <c r="G14" s="160">
        <f t="shared" si="20"/>
        <v>730135.50838297873</v>
      </c>
      <c r="H14" s="79">
        <f t="shared" si="12"/>
        <v>183767.27242912128</v>
      </c>
      <c r="I14" s="79">
        <f t="shared" si="12"/>
        <v>551301.81728736393</v>
      </c>
      <c r="J14" s="79">
        <f t="shared" si="12"/>
        <v>171516.12093384654</v>
      </c>
      <c r="K14" s="79">
        <f t="shared" si="12"/>
        <v>257274.18140076977</v>
      </c>
      <c r="L14" s="79">
        <f t="shared" si="12"/>
        <v>61255.757476373765</v>
      </c>
      <c r="M14" s="160">
        <f t="shared" si="21"/>
        <v>1225115.1495274755</v>
      </c>
      <c r="N14" s="79">
        <f t="shared" si="13"/>
        <v>97520.745433778706</v>
      </c>
      <c r="O14" s="79">
        <f t="shared" si="13"/>
        <v>292562.23630133615</v>
      </c>
      <c r="P14" s="79">
        <f t="shared" si="13"/>
        <v>91019.362404860134</v>
      </c>
      <c r="Q14" s="79">
        <f t="shared" si="13"/>
        <v>136529.04360729016</v>
      </c>
      <c r="R14" s="79">
        <f t="shared" si="13"/>
        <v>32506.915144592902</v>
      </c>
      <c r="S14" s="160">
        <f t="shared" si="14"/>
        <v>650138.30289185804</v>
      </c>
      <c r="T14" s="79">
        <f t="shared" si="15"/>
        <v>47040.905879653197</v>
      </c>
      <c r="U14" s="79">
        <f t="shared" si="15"/>
        <v>141122.71763895961</v>
      </c>
      <c r="V14" s="79">
        <f t="shared" si="15"/>
        <v>43904.845487676321</v>
      </c>
      <c r="W14" s="79">
        <f t="shared" si="15"/>
        <v>65857.268231514463</v>
      </c>
      <c r="X14" s="79">
        <f t="shared" si="15"/>
        <v>15680.3019598844</v>
      </c>
      <c r="Y14" s="160">
        <f t="shared" si="16"/>
        <v>313606.03919768805</v>
      </c>
      <c r="Z14" s="161">
        <f t="shared" si="5"/>
        <v>2918995</v>
      </c>
      <c r="AA14" s="79">
        <f t="shared" si="17"/>
        <v>437849.25</v>
      </c>
      <c r="AB14" s="79">
        <f t="shared" si="17"/>
        <v>1313547.7500000002</v>
      </c>
      <c r="AC14" s="79">
        <f t="shared" si="17"/>
        <v>408659.30000000005</v>
      </c>
      <c r="AD14" s="79">
        <f t="shared" si="17"/>
        <v>612988.94999999995</v>
      </c>
      <c r="AE14" s="79">
        <f t="shared" si="6"/>
        <v>2773045.25</v>
      </c>
      <c r="AF14" s="79">
        <f t="shared" si="18"/>
        <v>145949.75</v>
      </c>
      <c r="AG14" s="153">
        <f t="shared" si="19"/>
        <v>2918995</v>
      </c>
      <c r="AJ14" s="79">
        <f t="shared" si="22"/>
        <v>178538.38849824853</v>
      </c>
      <c r="AK14" s="79">
        <f t="shared" si="23"/>
        <v>1135009.3615017517</v>
      </c>
      <c r="AL14" s="79">
        <f t="shared" si="8"/>
        <v>1313547.7500000002</v>
      </c>
    </row>
    <row r="15" spans="1:38">
      <c r="A15" s="154" t="s">
        <v>243</v>
      </c>
      <c r="B15" s="79">
        <f t="shared" si="11"/>
        <v>0</v>
      </c>
      <c r="C15" s="79">
        <f t="shared" si="11"/>
        <v>0</v>
      </c>
      <c r="D15" s="79">
        <f t="shared" si="11"/>
        <v>150079.49826217149</v>
      </c>
      <c r="E15" s="79">
        <f t="shared" si="11"/>
        <v>0</v>
      </c>
      <c r="F15" s="79">
        <f t="shared" si="11"/>
        <v>0</v>
      </c>
      <c r="G15" s="160">
        <f t="shared" si="20"/>
        <v>150079.49826217149</v>
      </c>
      <c r="H15" s="79">
        <f t="shared" si="12"/>
        <v>0</v>
      </c>
      <c r="I15" s="79">
        <f t="shared" si="12"/>
        <v>0</v>
      </c>
      <c r="J15" s="79">
        <f t="shared" si="12"/>
        <v>251822.66146961032</v>
      </c>
      <c r="K15" s="79">
        <f t="shared" si="12"/>
        <v>0</v>
      </c>
      <c r="L15" s="79">
        <f t="shared" si="12"/>
        <v>0</v>
      </c>
      <c r="M15" s="160">
        <f t="shared" si="21"/>
        <v>251822.66146961032</v>
      </c>
      <c r="N15" s="79">
        <f t="shared" si="13"/>
        <v>0</v>
      </c>
      <c r="O15" s="79">
        <f t="shared" si="13"/>
        <v>0</v>
      </c>
      <c r="P15" s="79">
        <f t="shared" si="13"/>
        <v>133636.05683980783</v>
      </c>
      <c r="Q15" s="79">
        <f t="shared" si="13"/>
        <v>0</v>
      </c>
      <c r="R15" s="79">
        <f t="shared" si="13"/>
        <v>0</v>
      </c>
      <c r="S15" s="160">
        <f t="shared" si="14"/>
        <v>133636.05683980783</v>
      </c>
      <c r="T15" s="79">
        <f t="shared" si="15"/>
        <v>0</v>
      </c>
      <c r="U15" s="79">
        <f t="shared" si="15"/>
        <v>0</v>
      </c>
      <c r="V15" s="79">
        <f t="shared" si="15"/>
        <v>64461.783428410396</v>
      </c>
      <c r="W15" s="79">
        <f t="shared" si="15"/>
        <v>0</v>
      </c>
      <c r="X15" s="79">
        <f t="shared" si="15"/>
        <v>0</v>
      </c>
      <c r="Y15" s="160">
        <f t="shared" si="16"/>
        <v>64461.783428410396</v>
      </c>
      <c r="Z15" s="161">
        <f t="shared" si="5"/>
        <v>600000.00000000012</v>
      </c>
      <c r="AA15" s="79">
        <f t="shared" si="17"/>
        <v>0</v>
      </c>
      <c r="AB15" s="79">
        <f t="shared" si="17"/>
        <v>0</v>
      </c>
      <c r="AC15" s="79">
        <f t="shared" si="17"/>
        <v>600000.00000000012</v>
      </c>
      <c r="AD15" s="79">
        <f t="shared" si="17"/>
        <v>0</v>
      </c>
      <c r="AE15" s="79">
        <f t="shared" si="6"/>
        <v>600000.00000000012</v>
      </c>
      <c r="AF15" s="79">
        <f t="shared" si="18"/>
        <v>0</v>
      </c>
      <c r="AG15" s="153">
        <f t="shared" si="19"/>
        <v>600000.00000000012</v>
      </c>
      <c r="AJ15" s="79">
        <f t="shared" si="22"/>
        <v>0</v>
      </c>
      <c r="AK15" s="79">
        <f t="shared" si="23"/>
        <v>0</v>
      </c>
      <c r="AL15" s="79">
        <f t="shared" si="8"/>
        <v>0</v>
      </c>
    </row>
    <row r="16" spans="1:38" s="155" customFormat="1">
      <c r="A16" s="159" t="s">
        <v>244</v>
      </c>
      <c r="B16" s="155">
        <f>SUM(B8:B15)</f>
        <v>1347492.9005464478</v>
      </c>
      <c r="G16" s="155">
        <f>SUM(G8:G15)</f>
        <v>25937049.792451296</v>
      </c>
      <c r="M16" s="155">
        <f>SUM(M8:M15)</f>
        <v>43520514.027805798</v>
      </c>
      <c r="S16" s="155">
        <f>SUM(S8:S15)</f>
        <v>23095260.181813966</v>
      </c>
      <c r="Y16" s="155">
        <f>SUM(Y8:Y15)</f>
        <v>11140418.950309873</v>
      </c>
      <c r="Z16" s="155">
        <f t="shared" si="5"/>
        <v>103693242.95238094</v>
      </c>
      <c r="AA16" s="155">
        <f>SUM(AA8:AA15)</f>
        <v>5387116.4928571414</v>
      </c>
      <c r="AB16" s="155">
        <f t="shared" ref="AB16:AF16" si="24">SUM(AB8:AB15)</f>
        <v>65579089.378571421</v>
      </c>
      <c r="AC16" s="155">
        <f t="shared" si="24"/>
        <v>4171732.6333333338</v>
      </c>
      <c r="AD16" s="155">
        <f t="shared" si="24"/>
        <v>27175642.299999997</v>
      </c>
      <c r="AE16" s="79">
        <f t="shared" si="6"/>
        <v>102313580.8047619</v>
      </c>
      <c r="AF16" s="155">
        <f t="shared" si="24"/>
        <v>1379662.1476190477</v>
      </c>
      <c r="AG16" s="153">
        <f t="shared" si="19"/>
        <v>103693242.95238096</v>
      </c>
      <c r="AJ16" s="155">
        <f t="shared" ref="AJ16:AK16" si="25">SUM(AJ8:AJ15)</f>
        <v>8913558.6710363179</v>
      </c>
      <c r="AK16" s="155">
        <f t="shared" si="25"/>
        <v>56665530.70753511</v>
      </c>
      <c r="AL16" s="79">
        <f t="shared" si="8"/>
        <v>65579089.378571428</v>
      </c>
    </row>
    <row r="17" spans="1:38">
      <c r="A17" s="79" t="s">
        <v>245</v>
      </c>
      <c r="G17" s="79">
        <f>G16+G5</f>
        <v>26079840.792451296</v>
      </c>
      <c r="M17" s="79">
        <f>M16+M5</f>
        <v>43799050.027805798</v>
      </c>
      <c r="S17" s="79">
        <f>S16+S5</f>
        <v>23377045.181813966</v>
      </c>
      <c r="Y17" s="79">
        <f>Y16+Y5</f>
        <v>11237306.950309873</v>
      </c>
      <c r="Z17" s="79">
        <f t="shared" si="5"/>
        <v>104493242.95238094</v>
      </c>
      <c r="AA17" s="79">
        <f>AA16+AA5</f>
        <v>5418916.4928571414</v>
      </c>
      <c r="AB17" s="79">
        <f t="shared" ref="AB17:AF17" si="26">AB16+AB5</f>
        <v>66032159.378571421</v>
      </c>
      <c r="AC17" s="79">
        <f t="shared" si="26"/>
        <v>4211732.6333333338</v>
      </c>
      <c r="AD17" s="79">
        <f t="shared" si="26"/>
        <v>27341642.299999997</v>
      </c>
      <c r="AE17" s="79">
        <f t="shared" si="6"/>
        <v>103004450.8047619</v>
      </c>
      <c r="AF17" s="79">
        <f t="shared" si="26"/>
        <v>1488792.1476190477</v>
      </c>
      <c r="AG17" s="153">
        <f t="shared" si="19"/>
        <v>104493242.95238096</v>
      </c>
      <c r="AJ17" s="79">
        <f t="shared" ref="AJ17:AK17" si="27">AJ16+AJ5</f>
        <v>8954479.6710363179</v>
      </c>
      <c r="AK17" s="79">
        <f t="shared" si="27"/>
        <v>57077679.70753511</v>
      </c>
      <c r="AL17" s="79">
        <f t="shared" si="8"/>
        <v>66032159.378571428</v>
      </c>
    </row>
    <row r="18" spans="1:38">
      <c r="A18" s="79" t="s">
        <v>246</v>
      </c>
      <c r="G18" s="153">
        <f>G17+G4</f>
        <v>26368419.792451296</v>
      </c>
      <c r="M18" s="153">
        <f>M17+M4</f>
        <v>44244322.027805798</v>
      </c>
      <c r="S18" s="153">
        <f>S17+S4</f>
        <v>23479367.181813966</v>
      </c>
      <c r="Y18" s="153">
        <f>Y17+Y4</f>
        <v>11325699.950309873</v>
      </c>
      <c r="Z18" s="162">
        <f t="shared" si="5"/>
        <v>105417808.95238094</v>
      </c>
      <c r="AA18" s="153">
        <f>AA17+AA4</f>
        <v>5583857.4928571414</v>
      </c>
      <c r="AB18" s="153">
        <f t="shared" ref="AB18:AF18" si="28">AB17+AB4</f>
        <v>66362987.378571421</v>
      </c>
      <c r="AC18" s="153">
        <f t="shared" si="28"/>
        <v>4377904.6333333338</v>
      </c>
      <c r="AD18" s="153">
        <f t="shared" si="28"/>
        <v>27520596.299999997</v>
      </c>
      <c r="AE18" s="79">
        <f t="shared" si="6"/>
        <v>103845345.8047619</v>
      </c>
      <c r="AF18" s="153">
        <f t="shared" si="28"/>
        <v>1572463.1476190477</v>
      </c>
      <c r="AG18" s="153">
        <f t="shared" si="19"/>
        <v>105417808.95238096</v>
      </c>
      <c r="AJ18" s="153">
        <f t="shared" ref="AJ18:AK18" si="29">AJ17+AJ4</f>
        <v>9020106.6710363179</v>
      </c>
      <c r="AK18" s="153">
        <f t="shared" si="29"/>
        <v>57342880.70753511</v>
      </c>
      <c r="AL18" s="79">
        <f t="shared" si="8"/>
        <v>66362987.378571428</v>
      </c>
    </row>
    <row r="23" spans="1:38">
      <c r="AH23" s="79">
        <f>AG17-48100000</f>
        <v>56393242.952380955</v>
      </c>
    </row>
    <row r="24" spans="1:38">
      <c r="B24" s="79" t="s">
        <v>228</v>
      </c>
      <c r="C24" s="79" t="s">
        <v>229</v>
      </c>
      <c r="D24" s="79" t="s">
        <v>230</v>
      </c>
      <c r="E24" s="79" t="s">
        <v>231</v>
      </c>
      <c r="F24" s="79" t="s">
        <v>232</v>
      </c>
    </row>
    <row r="25" spans="1:38" s="154" customFormat="1">
      <c r="A25" s="154" t="s">
        <v>247</v>
      </c>
      <c r="B25" s="165">
        <v>0.3</v>
      </c>
      <c r="C25" s="165">
        <v>0.6</v>
      </c>
      <c r="D25" s="165">
        <v>0</v>
      </c>
      <c r="E25" s="165">
        <v>0.05</v>
      </c>
      <c r="F25" s="165">
        <v>0.05</v>
      </c>
      <c r="G25" s="154">
        <f>SUM(B25:F25)</f>
        <v>1</v>
      </c>
      <c r="H25" s="164">
        <v>2080867</v>
      </c>
      <c r="I25" s="79"/>
      <c r="AG25" s="163"/>
    </row>
    <row r="26" spans="1:38" s="154" customFormat="1">
      <c r="A26" s="154" t="s">
        <v>248</v>
      </c>
      <c r="B26" s="166">
        <v>0.09</v>
      </c>
      <c r="C26" s="166">
        <v>0.7</v>
      </c>
      <c r="D26" s="166">
        <v>0</v>
      </c>
      <c r="E26" s="166">
        <v>0.21</v>
      </c>
      <c r="F26" s="166">
        <v>0</v>
      </c>
      <c r="G26" s="154">
        <f>SUM(B26:F26)</f>
        <v>0.99999999999999989</v>
      </c>
      <c r="H26" s="164">
        <v>10400000</v>
      </c>
      <c r="I26" s="79"/>
      <c r="AG26" s="163"/>
    </row>
    <row r="27" spans="1:38" s="154" customFormat="1">
      <c r="A27" s="154" t="s">
        <v>249</v>
      </c>
      <c r="B27" s="166">
        <v>0</v>
      </c>
      <c r="C27" s="166">
        <v>0.7</v>
      </c>
      <c r="D27" s="166">
        <v>0</v>
      </c>
      <c r="E27" s="166">
        <v>0.3</v>
      </c>
      <c r="F27" s="166">
        <v>0</v>
      </c>
      <c r="G27" s="154">
        <f>SUM(B27:F27)</f>
        <v>1</v>
      </c>
      <c r="H27" s="164">
        <v>65100000</v>
      </c>
      <c r="I27" s="79">
        <f>H26+H27</f>
        <v>75500000</v>
      </c>
      <c r="AG27" s="163"/>
    </row>
    <row r="28" spans="1:38" s="154" customFormat="1">
      <c r="A28" s="154" t="s">
        <v>250</v>
      </c>
      <c r="B28" s="167">
        <v>0.15</v>
      </c>
      <c r="C28" s="167">
        <v>0.45</v>
      </c>
      <c r="D28" s="167">
        <v>0.14000000000000001</v>
      </c>
      <c r="E28" s="167">
        <f>1-B28-C28-D28-F28</f>
        <v>0.20999999999999996</v>
      </c>
      <c r="F28" s="167">
        <v>0.05</v>
      </c>
      <c r="G28" s="154">
        <f>SUM(B28:F28)</f>
        <v>1</v>
      </c>
      <c r="H28" s="164">
        <f>(27660000*4/7)+(983000/3)</f>
        <v>16133380.952380951</v>
      </c>
      <c r="I28" s="79"/>
      <c r="K28" s="154">
        <f>H28-327666</f>
        <v>15805714.952380951</v>
      </c>
      <c r="AG28" s="163"/>
    </row>
    <row r="29" spans="1:38" s="154" customFormat="1">
      <c r="A29" s="154" t="s">
        <v>251</v>
      </c>
      <c r="B29" s="167">
        <v>0.15</v>
      </c>
      <c r="C29" s="167">
        <v>0.45</v>
      </c>
      <c r="D29" s="167">
        <v>0.14000000000000001</v>
      </c>
      <c r="E29" s="167">
        <f>1-B29-C29-D29-F29</f>
        <v>0.20999999999999996</v>
      </c>
      <c r="F29" s="167">
        <v>0.05</v>
      </c>
      <c r="G29" s="154">
        <f>SUM(B29:F29)</f>
        <v>1</v>
      </c>
      <c r="H29" s="164">
        <f>10430000*4/7</f>
        <v>5960000</v>
      </c>
      <c r="I29" s="79">
        <f>H28+H29</f>
        <v>22093380.952380951</v>
      </c>
      <c r="AG29" s="163"/>
    </row>
    <row r="30" spans="1:38" s="154" customFormat="1">
      <c r="A30" s="154" t="s">
        <v>252</v>
      </c>
      <c r="B30" s="167">
        <v>0.15</v>
      </c>
      <c r="C30" s="167">
        <v>0.45</v>
      </c>
      <c r="D30" s="167">
        <v>0.14000000000000001</v>
      </c>
      <c r="E30" s="167">
        <f>1-B30-C30-D30-F30</f>
        <v>0.20999999999999996</v>
      </c>
      <c r="F30" s="167">
        <v>0.05</v>
      </c>
      <c r="G30" s="154">
        <f t="shared" ref="G30:G32" si="30">SUM(B30:F30)</f>
        <v>1</v>
      </c>
      <c r="H30" s="164">
        <v>500000</v>
      </c>
      <c r="I30" s="79"/>
      <c r="AG30" s="163"/>
    </row>
    <row r="31" spans="1:38" s="154" customFormat="1">
      <c r="A31" s="154" t="s">
        <v>253</v>
      </c>
      <c r="B31" s="167">
        <v>0.15</v>
      </c>
      <c r="C31" s="167">
        <v>0.45</v>
      </c>
      <c r="D31" s="167">
        <v>0.14000000000000001</v>
      </c>
      <c r="E31" s="167">
        <f>1-B31-C31-D31-F31</f>
        <v>0.20999999999999996</v>
      </c>
      <c r="F31" s="167">
        <v>0.05</v>
      </c>
      <c r="G31" s="154">
        <f t="shared" si="30"/>
        <v>1</v>
      </c>
      <c r="H31" s="164">
        <v>2918995</v>
      </c>
      <c r="AG31" s="163"/>
    </row>
    <row r="32" spans="1:38" s="154" customFormat="1">
      <c r="A32" s="154" t="s">
        <v>254</v>
      </c>
      <c r="B32" s="166">
        <v>0</v>
      </c>
      <c r="C32" s="166">
        <v>0</v>
      </c>
      <c r="D32" s="166">
        <v>1</v>
      </c>
      <c r="E32" s="166">
        <v>0</v>
      </c>
      <c r="F32" s="166">
        <v>0</v>
      </c>
      <c r="G32" s="154">
        <f t="shared" si="30"/>
        <v>1</v>
      </c>
      <c r="H32" s="164">
        <v>600000</v>
      </c>
      <c r="AG32" s="163"/>
    </row>
    <row r="33" spans="2:33" s="154" customFormat="1">
      <c r="H33" s="79"/>
      <c r="AG33" s="163"/>
    </row>
    <row r="34" spans="2:33" s="154" customFormat="1">
      <c r="B34" s="154">
        <f>SUM(B25:B32)</f>
        <v>0.9900000000000001</v>
      </c>
      <c r="C34" s="154">
        <f t="shared" ref="C34:G34" si="31">SUM(C25:C32)</f>
        <v>3.8000000000000003</v>
      </c>
      <c r="D34" s="154">
        <f t="shared" si="31"/>
        <v>1.56</v>
      </c>
      <c r="E34" s="154">
        <f t="shared" si="31"/>
        <v>1.4</v>
      </c>
      <c r="F34" s="154">
        <f t="shared" si="31"/>
        <v>0.25</v>
      </c>
      <c r="G34" s="154">
        <f t="shared" si="31"/>
        <v>8</v>
      </c>
      <c r="H34" s="79">
        <f>SUM(H25:H32)</f>
        <v>103693242.95238096</v>
      </c>
      <c r="AG34" s="163"/>
    </row>
    <row r="35" spans="2:33" s="154" customFormat="1">
      <c r="H35" s="79"/>
      <c r="AG35" s="163"/>
    </row>
    <row r="36" spans="2:33">
      <c r="H36" s="79">
        <v>1724566</v>
      </c>
    </row>
    <row r="37" spans="2:33">
      <c r="H37" s="79">
        <f>SUM(H34:H36)</f>
        <v>105417808.95238096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2F61DB-5548-D049-B3F1-1663ABAB8C41}">
  <dimension ref="A1:F13"/>
  <sheetViews>
    <sheetView workbookViewId="0">
      <selection sqref="A1:F13"/>
    </sheetView>
  </sheetViews>
  <sheetFormatPr baseColWidth="10" defaultRowHeight="15.6"/>
  <cols>
    <col min="1" max="1" width="32.3984375" customWidth="1"/>
  </cols>
  <sheetData>
    <row r="1" spans="1:6">
      <c r="A1" s="319"/>
      <c r="B1" s="180" t="s">
        <v>285</v>
      </c>
      <c r="C1" s="180" t="s">
        <v>285</v>
      </c>
      <c r="D1" s="180" t="s">
        <v>285</v>
      </c>
      <c r="E1" s="180" t="s">
        <v>285</v>
      </c>
      <c r="F1" s="180" t="s">
        <v>286</v>
      </c>
    </row>
    <row r="2" spans="1:6" ht="16.2" thickBot="1">
      <c r="A2" s="320"/>
      <c r="B2" s="181" t="s">
        <v>287</v>
      </c>
      <c r="C2" s="181" t="s">
        <v>288</v>
      </c>
      <c r="D2" s="181" t="s">
        <v>289</v>
      </c>
      <c r="E2" s="181" t="s">
        <v>290</v>
      </c>
      <c r="F2" s="181" t="s">
        <v>291</v>
      </c>
    </row>
    <row r="3" spans="1:6" ht="16.2" thickBot="1">
      <c r="A3" s="182" t="s">
        <v>292</v>
      </c>
      <c r="B3" s="183">
        <f>'Co-financing_Details'!G4</f>
        <v>288579</v>
      </c>
      <c r="C3" s="183">
        <f>'Co-financing_Details'!M4</f>
        <v>445272</v>
      </c>
      <c r="D3" s="183">
        <f>'Co-financing_Details'!S4</f>
        <v>102322</v>
      </c>
      <c r="E3" s="183">
        <f>'Co-financing_Details'!Y4</f>
        <v>88393</v>
      </c>
      <c r="F3" s="183">
        <f>SUM(B3:E3)</f>
        <v>924566</v>
      </c>
    </row>
    <row r="4" spans="1:6" ht="16.2" thickBot="1">
      <c r="A4" s="182" t="s">
        <v>293</v>
      </c>
      <c r="B4" s="183">
        <f>'Co-financing_Details'!G5</f>
        <v>142791</v>
      </c>
      <c r="C4" s="183">
        <f>'Co-financing_Details'!M5</f>
        <v>278536</v>
      </c>
      <c r="D4" s="183">
        <f>'Co-financing_Details'!S5</f>
        <v>281785</v>
      </c>
      <c r="E4" s="183">
        <f>'Co-financing_Details'!Y5</f>
        <v>96888</v>
      </c>
      <c r="F4" s="183">
        <f>SUM(B4:E4)</f>
        <v>800000</v>
      </c>
    </row>
    <row r="5" spans="1:6" ht="16.2" thickBot="1">
      <c r="A5" s="182" t="s">
        <v>236</v>
      </c>
      <c r="B5" s="183">
        <f>'Co-financing_Details'!$G8</f>
        <v>520492.45885051659</v>
      </c>
      <c r="C5" s="183">
        <f>'Co-financing_Details'!$M8</f>
        <v>873349.11017380608</v>
      </c>
      <c r="D5" s="183">
        <f>'Co-financing_Details'!$S8</f>
        <v>463464.7678134673</v>
      </c>
      <c r="E5" s="183">
        <f>'Co-financing_Details'!$Y8</f>
        <v>223560.66316221008</v>
      </c>
      <c r="F5" s="183">
        <f t="shared" ref="F5:F12" si="0">SUM(B5:E5)</f>
        <v>2080867</v>
      </c>
    </row>
    <row r="6" spans="1:6" ht="16.2" thickBot="1">
      <c r="A6" s="184" t="s">
        <v>294</v>
      </c>
      <c r="B6" s="183">
        <f>'Co-financing_Details'!$G9</f>
        <v>2601377.9698776389</v>
      </c>
      <c r="C6" s="183">
        <f>'Co-financing_Details'!$M9</f>
        <v>4364926.1321399119</v>
      </c>
      <c r="D6" s="183">
        <f>'Co-financing_Details'!$S9</f>
        <v>2316358.3185566687</v>
      </c>
      <c r="E6" s="183">
        <f>'Co-financing_Details'!$Y9</f>
        <v>1117337.5794257801</v>
      </c>
      <c r="F6" s="183">
        <f t="shared" si="0"/>
        <v>10400000</v>
      </c>
    </row>
    <row r="7" spans="1:6" ht="16.2" thickBot="1">
      <c r="A7" s="184" t="s">
        <v>295</v>
      </c>
      <c r="B7" s="183">
        <f>'Co-financing_Details'!$G10</f>
        <v>16283625.561445603</v>
      </c>
      <c r="C7" s="183">
        <f>'Co-financing_Details'!$M10</f>
        <v>27322758.769452713</v>
      </c>
      <c r="D7" s="183">
        <f>'Co-financing_Details'!$S10</f>
        <v>14499512.167119147</v>
      </c>
      <c r="E7" s="183">
        <f>'Co-financing_Details'!$Y10</f>
        <v>6994103.5019825278</v>
      </c>
      <c r="F7" s="183">
        <f t="shared" si="0"/>
        <v>65099999.999999985</v>
      </c>
    </row>
    <row r="8" spans="1:6" ht="16.2" thickBot="1">
      <c r="A8" s="184" t="s">
        <v>296</v>
      </c>
      <c r="B8" s="183">
        <f>'Co-financing_Details'!$G11</f>
        <v>4035482.8643430118</v>
      </c>
      <c r="C8" s="183">
        <f>'Co-financing_Details'!$M11</f>
        <v>6771251.5498861456</v>
      </c>
      <c r="D8" s="183">
        <f>'Co-financing_Details'!$S11</f>
        <v>3593335.6899510897</v>
      </c>
      <c r="E8" s="183">
        <f>'Co-financing_Details'!$Y11</f>
        <v>1733310.848200704</v>
      </c>
      <c r="F8" s="183">
        <f t="shared" si="0"/>
        <v>16133380.952380951</v>
      </c>
    </row>
    <row r="9" spans="1:6" ht="16.2" thickBot="1">
      <c r="A9" s="184" t="s">
        <v>297</v>
      </c>
      <c r="B9" s="183">
        <f>'Co-financing_Details'!$G12</f>
        <v>1490789.68273757</v>
      </c>
      <c r="C9" s="183">
        <f>'Co-financing_Details'!$M12</f>
        <v>2501438.4372647959</v>
      </c>
      <c r="D9" s="183">
        <f>'Co-financing_Details'!$S12</f>
        <v>1327451.497942091</v>
      </c>
      <c r="E9" s="183">
        <f>'Co-financing_Details'!$Y12</f>
        <v>640320.38205554313</v>
      </c>
      <c r="F9" s="183">
        <f t="shared" si="0"/>
        <v>5960000</v>
      </c>
    </row>
    <row r="10" spans="1:6" ht="16.2" thickBot="1">
      <c r="A10" s="182" t="s">
        <v>298</v>
      </c>
      <c r="B10" s="183">
        <f>'Co-financing_Details'!$G13</f>
        <v>125066.24855180955</v>
      </c>
      <c r="C10" s="183">
        <f>'Co-financing_Details'!$M13</f>
        <v>209852.21789134189</v>
      </c>
      <c r="D10" s="183">
        <f>'Co-financing_Details'!$S13</f>
        <v>111363.38069983985</v>
      </c>
      <c r="E10" s="183">
        <f>'Co-financing_Details'!$Y13</f>
        <v>53718.152857008659</v>
      </c>
      <c r="F10" s="183">
        <f t="shared" si="0"/>
        <v>500000</v>
      </c>
    </row>
    <row r="11" spans="1:6" ht="16.2" thickBot="1">
      <c r="A11" s="182" t="s">
        <v>299</v>
      </c>
      <c r="B11" s="183">
        <f>'Co-financing_Details'!$G14</f>
        <v>730135.50838297873</v>
      </c>
      <c r="C11" s="183">
        <f>'Co-financing_Details'!$M14</f>
        <v>1225115.1495274755</v>
      </c>
      <c r="D11" s="183">
        <f>'Co-financing_Details'!$S14</f>
        <v>650138.30289185804</v>
      </c>
      <c r="E11" s="183">
        <f>'Co-financing_Details'!$Y14</f>
        <v>313606.03919768805</v>
      </c>
      <c r="F11" s="183">
        <f t="shared" si="0"/>
        <v>2918995</v>
      </c>
    </row>
    <row r="12" spans="1:6" ht="16.2" thickBot="1">
      <c r="A12" s="182" t="s">
        <v>300</v>
      </c>
      <c r="B12" s="183">
        <f>'Co-financing_Details'!$G15</f>
        <v>150079.49826217149</v>
      </c>
      <c r="C12" s="183">
        <f>'Co-financing_Details'!$M15</f>
        <v>251822.66146961032</v>
      </c>
      <c r="D12" s="183">
        <f>'Co-financing_Details'!$S15</f>
        <v>133636.05683980783</v>
      </c>
      <c r="E12" s="183">
        <f>'Co-financing_Details'!$Y15</f>
        <v>64461.783428410396</v>
      </c>
      <c r="F12" s="183">
        <f t="shared" si="0"/>
        <v>600000.00000000012</v>
      </c>
    </row>
    <row r="13" spans="1:6" ht="16.2" thickBot="1">
      <c r="A13" s="182" t="s">
        <v>1</v>
      </c>
      <c r="B13" s="185">
        <f>SUM(B3:B12)</f>
        <v>26368419.792451296</v>
      </c>
      <c r="C13" s="185">
        <f t="shared" ref="C13:F13" si="1">SUM(C3:C12)</f>
        <v>44244322.027805798</v>
      </c>
      <c r="D13" s="185">
        <f t="shared" si="1"/>
        <v>23479367.181813966</v>
      </c>
      <c r="E13" s="185">
        <f t="shared" si="1"/>
        <v>11325699.950309873</v>
      </c>
      <c r="F13" s="185">
        <f t="shared" si="1"/>
        <v>105417808.95238094</v>
      </c>
    </row>
  </sheetData>
  <mergeCells count="1">
    <mergeCell ref="A1:A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DCCC2C-5F0F-834F-85C5-816295D3B191}">
  <dimension ref="A3:D27"/>
  <sheetViews>
    <sheetView workbookViewId="0">
      <selection activeCell="B27" sqref="B27"/>
    </sheetView>
  </sheetViews>
  <sheetFormatPr baseColWidth="10" defaultRowHeight="15.6"/>
  <cols>
    <col min="1" max="1" width="32.8984375" customWidth="1"/>
    <col min="2" max="2" width="21.59765625" customWidth="1"/>
    <col min="3" max="3" width="54.09765625" customWidth="1"/>
    <col min="4" max="4" width="33.3984375" customWidth="1"/>
  </cols>
  <sheetData>
    <row r="3" spans="1:4">
      <c r="A3" t="s">
        <v>169</v>
      </c>
      <c r="B3" s="79">
        <v>924566</v>
      </c>
    </row>
    <row r="4" spans="1:4">
      <c r="A4" t="s">
        <v>170</v>
      </c>
      <c r="B4" s="79">
        <v>800000</v>
      </c>
      <c r="C4" s="169" t="s">
        <v>256</v>
      </c>
    </row>
    <row r="5" spans="1:4">
      <c r="A5" t="s">
        <v>171</v>
      </c>
      <c r="B5" s="79">
        <f>SUM(B3:B4)</f>
        <v>1724566</v>
      </c>
    </row>
    <row r="7" spans="1:4">
      <c r="A7" t="s">
        <v>172</v>
      </c>
      <c r="B7" s="79">
        <v>84051</v>
      </c>
      <c r="C7" t="s">
        <v>175</v>
      </c>
      <c r="D7">
        <f>B3-(B3/1.1)</f>
        <v>84051.454545454588</v>
      </c>
    </row>
    <row r="8" spans="1:4">
      <c r="A8" t="s">
        <v>173</v>
      </c>
      <c r="B8" s="79">
        <v>23429</v>
      </c>
      <c r="C8" t="s">
        <v>177</v>
      </c>
      <c r="D8">
        <f>B3-(B3/1.05)</f>
        <v>44026.952380952425</v>
      </c>
    </row>
    <row r="9" spans="1:4">
      <c r="A9" t="s">
        <v>174</v>
      </c>
      <c r="B9" s="79">
        <v>44026</v>
      </c>
      <c r="C9" t="s">
        <v>176</v>
      </c>
      <c r="D9">
        <f>B3-(B3/1.026)</f>
        <v>23429.547758284607</v>
      </c>
    </row>
    <row r="24" spans="2:2">
      <c r="B24" s="168"/>
    </row>
    <row r="25" spans="2:2">
      <c r="B25" s="168"/>
    </row>
    <row r="26" spans="2:2">
      <c r="B26" s="168"/>
    </row>
    <row r="27" spans="2:2">
      <c r="B27" s="168" t="s">
        <v>255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55F732436BD414ABE4F9007290F88BC" ma:contentTypeVersion="25" ma:contentTypeDescription="Create a new document." ma:contentTypeScope="" ma:versionID="19ff785e43d8386b7fc1b523882a6cfd">
  <xsd:schema xmlns:xsd="http://www.w3.org/2001/XMLSchema" xmlns:xs="http://www.w3.org/2001/XMLSchema" xmlns:p="http://schemas.microsoft.com/office/2006/metadata/properties" xmlns:ns2="d9cf0e28-81d2-4dc7-8b10-820d80ed680d" xmlns:ns3="e91d5986-7c29-4ed1-8a54-b8fb378ed474" targetNamespace="http://schemas.microsoft.com/office/2006/metadata/properties" ma:root="true" ma:fieldsID="3a7dfc2db884fbb68ec1b44c11dccb51" ns2:_="" ns3:_="">
    <xsd:import namespace="d9cf0e28-81d2-4dc7-8b10-820d80ed680d"/>
    <xsd:import namespace="e91d5986-7c29-4ed1-8a54-b8fb378ed474"/>
    <xsd:element name="properties">
      <xsd:complexType>
        <xsd:sequence>
          <xsd:element name="documentManagement">
            <xsd:complexType>
              <xsd:all>
                <xsd:element ref="ns2:DocumentCategory" minOccurs="0"/>
                <xsd:element ref="ns2:DocumentType" minOccurs="0"/>
                <xsd:element ref="ns2:FileClassificationMode" minOccurs="0"/>
                <xsd:element ref="ns2:FileNameDescription" minOccurs="0"/>
                <xsd:element ref="ns2:ProjectNumber" minOccurs="0"/>
                <xsd:element ref="ns2:OperatingUnit" minOccurs="0"/>
                <xsd:element ref="ns2:Language" minOccurs="0"/>
                <xsd:element ref="ns2:FunctionalArea" minOccurs="0"/>
                <xsd:element ref="ns2:OutputNumber" minOccurs="0"/>
                <xsd:element ref="ns2:DocumentStatus" minOccurs="0"/>
                <xsd:element ref="ns2:DocCoverageStartDate" minOccurs="0"/>
                <xsd:element ref="ns2:DocCoverageEndDate" minOccurs="0"/>
                <xsd:element ref="ns2:FocusArea" minOccurs="0"/>
                <xsd:element ref="ns2:AuthorName" minOccurs="0"/>
                <xsd:element ref="ns2:OfficeCountry" minOccurs="0"/>
                <xsd:element ref="ns2:MediaServiceMetadata" minOccurs="0"/>
                <xsd:element ref="ns2:MediaServiceFastMetadata"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cf0e28-81d2-4dc7-8b10-820d80ed680d" elementFormDefault="qualified">
    <xsd:import namespace="http://schemas.microsoft.com/office/2006/documentManagement/types"/>
    <xsd:import namespace="http://schemas.microsoft.com/office/infopath/2007/PartnerControls"/>
    <xsd:element name="DocumentCategory" ma:index="8" nillable="true" ma:displayName="DocumentCategory" ma:format="Dropdown" ma:internalName="DocumentCategory">
      <xsd:simpleType>
        <xsd:restriction base="dms:Text">
          <xsd:maxLength value="255"/>
        </xsd:restriction>
      </xsd:simpleType>
    </xsd:element>
    <xsd:element name="DocumentType" ma:index="9" nillable="true" ma:displayName="DocumentType" ma:format="Dropdown" ma:internalName="DocumentType">
      <xsd:simpleType>
        <xsd:restriction base="dms:Text">
          <xsd:maxLength value="255"/>
        </xsd:restriction>
      </xsd:simpleType>
    </xsd:element>
    <xsd:element name="FileClassificationMode" ma:index="10" nillable="true" ma:displayName="FileClassificationMode" ma:format="Dropdown" ma:internalName="FileClassificationMode">
      <xsd:simpleType>
        <xsd:restriction base="dms:Text">
          <xsd:maxLength value="255"/>
        </xsd:restriction>
      </xsd:simpleType>
    </xsd:element>
    <xsd:element name="FileNameDescription" ma:index="11" nillable="true" ma:displayName="FileNameDescription" ma:format="Dropdown" ma:internalName="FileNameDescription">
      <xsd:simpleType>
        <xsd:restriction base="dms:Text">
          <xsd:maxLength value="255"/>
        </xsd:restriction>
      </xsd:simpleType>
    </xsd:element>
    <xsd:element name="ProjectNumber" ma:index="12" nillable="true" ma:displayName="ProjectNumber" ma:format="Dropdown" ma:internalName="ProjectNumber">
      <xsd:simpleType>
        <xsd:restriction base="dms:Text">
          <xsd:maxLength value="255"/>
        </xsd:restriction>
      </xsd:simpleType>
    </xsd:element>
    <xsd:element name="OperatingUnit" ma:index="13" nillable="true" ma:displayName="OperatingUnit" ma:format="Dropdown" ma:internalName="OperatingUnit">
      <xsd:simpleType>
        <xsd:restriction base="dms:Text">
          <xsd:maxLength value="255"/>
        </xsd:restriction>
      </xsd:simpleType>
    </xsd:element>
    <xsd:element name="Language" ma:index="14" nillable="true" ma:displayName="Language" ma:format="Dropdown" ma:internalName="Language">
      <xsd:simpleType>
        <xsd:restriction base="dms:Text">
          <xsd:maxLength value="255"/>
        </xsd:restriction>
      </xsd:simpleType>
    </xsd:element>
    <xsd:element name="FunctionalArea" ma:index="15" nillable="true" ma:displayName="FunctionalArea" ma:format="Dropdown" ma:internalName="FunctionalArea">
      <xsd:simpleType>
        <xsd:restriction base="dms:Text">
          <xsd:maxLength value="255"/>
        </xsd:restriction>
      </xsd:simpleType>
    </xsd:element>
    <xsd:element name="OutputNumber" ma:index="16" nillable="true" ma:displayName="OutputNumber" ma:format="Dropdown" ma:internalName="OutputNumber">
      <xsd:simpleType>
        <xsd:restriction base="dms:Text">
          <xsd:maxLength value="255"/>
        </xsd:restriction>
      </xsd:simpleType>
    </xsd:element>
    <xsd:element name="DocumentStatus" ma:index="17" nillable="true" ma:displayName="DocumentStatus" ma:format="Dropdown" ma:internalName="DocumentStatus">
      <xsd:simpleType>
        <xsd:restriction base="dms:Text">
          <xsd:maxLength value="255"/>
        </xsd:restriction>
      </xsd:simpleType>
    </xsd:element>
    <xsd:element name="DocCoverageStartDate" ma:index="18" nillable="true" ma:displayName="DocCoverageStartDate" ma:default="[today]" ma:format="DateOnly" ma:internalName="DocCoverageStartDate">
      <xsd:simpleType>
        <xsd:restriction base="dms:DateTime"/>
      </xsd:simpleType>
    </xsd:element>
    <xsd:element name="DocCoverageEndDate" ma:index="19" nillable="true" ma:displayName="DocCoverageEndDate" ma:format="DateOnly" ma:internalName="DocCoverageEndDate">
      <xsd:simpleType>
        <xsd:restriction base="dms:DateTime"/>
      </xsd:simpleType>
    </xsd:element>
    <xsd:element name="FocusArea" ma:index="20" nillable="true" ma:displayName="FocusArea" ma:format="Dropdown" ma:internalName="FocusArea">
      <xsd:simpleType>
        <xsd:restriction base="dms:Text">
          <xsd:maxLength value="255"/>
        </xsd:restriction>
      </xsd:simpleType>
    </xsd:element>
    <xsd:element name="AuthorName" ma:index="21" nillable="true" ma:displayName="AuthorName" ma:format="Dropdown" ma:internalName="AuthorName">
      <xsd:simpleType>
        <xsd:restriction base="dms:Text">
          <xsd:maxLength value="255"/>
        </xsd:restriction>
      </xsd:simpleType>
    </xsd:element>
    <xsd:element name="OfficeCountry" ma:index="22" nillable="true" ma:displayName="OfficeCountry" ma:format="Dropdown" ma:internalName="OfficeCountry">
      <xsd:simpleType>
        <xsd:restriction base="dms:Text">
          <xsd:maxLength value="255"/>
        </xsd:restriction>
      </xsd:simpleType>
    </xsd:element>
    <xsd:element name="MediaServiceMetadata" ma:index="23" nillable="true" ma:displayName="MediaServiceMetadata" ma:hidden="true" ma:internalName="MediaServiceMetadata" ma:readOnly="true">
      <xsd:simpleType>
        <xsd:restriction base="dms:Note"/>
      </xsd:simpleType>
    </xsd:element>
    <xsd:element name="MediaServiceFastMetadata" ma:index="24" nillable="true" ma:displayName="MediaServiceFastMetadata" ma:hidden="true" ma:internalName="MediaServiceFastMetadata" ma:readOnly="true">
      <xsd:simpleType>
        <xsd:restriction base="dms:Note"/>
      </xsd:simpleType>
    </xsd:element>
    <xsd:element name="MediaLengthInSeconds" ma:index="25" nillable="true" ma:displayName="MediaLengthInSeconds" ma:hidden="true" ma:internalName="MediaLengthInSeconds" ma:readOnly="true">
      <xsd:simpleType>
        <xsd:restriction base="dms:Unknown"/>
      </xsd:simpleType>
    </xsd:element>
    <xsd:element name="lcf76f155ced4ddcb4097134ff3c332f" ma:index="27" nillable="true" ma:taxonomy="true" ma:internalName="lcf76f155ced4ddcb4097134ff3c332f" ma:taxonomyFieldName="MediaServiceImageTags" ma:displayName="Image Tags" ma:readOnly="false" ma:fieldId="{5cf76f15-5ced-4ddc-b409-7134ff3c332f}" ma:taxonomyMulti="true" ma:sspId="f8ebb0a5-c57d-4c3a-bec7-8a38252dd05c" ma:termSetId="09814cd3-568e-fe90-9814-8d621ff8fb84" ma:anchorId="fba54fb3-c3e1-fe81-a776-ca4b69148c4d" ma:open="true" ma:isKeyword="false">
      <xsd:complexType>
        <xsd:sequence>
          <xsd:element ref="pc:Terms" minOccurs="0" maxOccurs="1"/>
        </xsd:sequence>
      </xsd:complex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ServiceOCR" ma:index="3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91d5986-7c29-4ed1-8a54-b8fb378ed474" elementFormDefault="qualified">
    <xsd:import namespace="http://schemas.microsoft.com/office/2006/documentManagement/types"/>
    <xsd:import namespace="http://schemas.microsoft.com/office/infopath/2007/PartnerControls"/>
    <xsd:element name="TaxCatchAll" ma:index="28" nillable="true" ma:displayName="Taxonomy Catch All Column" ma:hidden="true" ma:list="{89ecd518-8760-4857-902e-5583cb61199f}" ma:internalName="TaxCatchAll" ma:showField="CatchAllData" ma:web="e91d5986-7c29-4ed1-8a54-b8fb378ed47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OfficeCountry xmlns="d9cf0e28-81d2-4dc7-8b10-820d80ed680d">B0306 - Burkina Faso - Ouagadougou</OfficeCountry>
    <DocumentStatus xmlns="d9cf0e28-81d2-4dc7-8b10-820d80ed680d">Approved</DocumentStatus>
    <DocCoverageEndDate xmlns="d9cf0e28-81d2-4dc7-8b10-820d80ed680d">2026-08-22T04:00:00+00:00</DocCoverageEndDate>
    <TaxCatchAll xmlns="e91d5986-7c29-4ed1-8a54-b8fb378ed474" xsi:nil="true"/>
    <FunctionalArea xmlns="d9cf0e28-81d2-4dc7-8b10-820d80ed680d">Programme and Project</FunctionalArea>
    <FileNameDescription xmlns="d9cf0e28-81d2-4dc7-8b10-820d80ed680d">AFrica Mini Grid Burkina Faso</FileNameDescription>
    <ProjectNumber xmlns="d9cf0e28-81d2-4dc7-8b10-820d80ed680d">00118893</ProjectNumber>
    <DocumentType xmlns="d9cf0e28-81d2-4dc7-8b10-820d80ed680d">Project Document (Prodoc)</DocumentType>
    <Language xmlns="d9cf0e28-81d2-4dc7-8b10-820d80ed680d">English</Language>
    <AuthorName xmlns="d9cf0e28-81d2-4dc7-8b10-820d80ed680d">UNDP</AuthorName>
    <DocumentCategory xmlns="d9cf0e28-81d2-4dc7-8b10-820d80ed680d">Project</DocumentCategory>
    <OperatingUnit xmlns="d9cf0e28-81d2-4dc7-8b10-820d80ed680d">UNDP-BFA</OperatingUnit>
    <lcf76f155ced4ddcb4097134ff3c332f xmlns="d9cf0e28-81d2-4dc7-8b10-820d80ed680d">
      <Terms xmlns="http://schemas.microsoft.com/office/infopath/2007/PartnerControls"/>
    </lcf76f155ced4ddcb4097134ff3c332f>
    <FocusArea xmlns="d9cf0e28-81d2-4dc7-8b10-820d80ed680d">Environment and Energy</FocusArea>
    <DocCoverageStartDate xmlns="d9cf0e28-81d2-4dc7-8b10-820d80ed680d">2022-08-22T04:00:00+00:00</DocCoverageStartDate>
    <FileClassificationMode xmlns="d9cf0e28-81d2-4dc7-8b10-820d80ed680d">Public</FileClassificationMode>
    <OutputNumber xmlns="d9cf0e28-81d2-4dc7-8b10-820d80ed680d">00115515</OutputNumber>
  </documentManagement>
</p:properties>
</file>

<file path=customXml/itemProps1.xml><?xml version="1.0" encoding="utf-8"?>
<ds:datastoreItem xmlns:ds="http://schemas.openxmlformats.org/officeDocument/2006/customXml" ds:itemID="{30919688-3F75-4EBD-831B-2C0E87732EA8}"/>
</file>

<file path=customXml/itemProps2.xml><?xml version="1.0" encoding="utf-8"?>
<ds:datastoreItem xmlns:ds="http://schemas.openxmlformats.org/officeDocument/2006/customXml" ds:itemID="{2721658A-A032-4A63-AFF2-CFBB245625BA}"/>
</file>

<file path=customXml/itemProps3.xml><?xml version="1.0" encoding="utf-8"?>
<ds:datastoreItem xmlns:ds="http://schemas.openxmlformats.org/officeDocument/2006/customXml" ds:itemID="{AD52759B-475C-4329-AD5F-232CD5368DD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Breakdown</vt:lpstr>
      <vt:lpstr>Budget_UNDP</vt:lpstr>
      <vt:lpstr>Budget_Notes</vt:lpstr>
      <vt:lpstr>M&amp;E</vt:lpstr>
      <vt:lpstr>Co-financing_Details</vt:lpstr>
      <vt:lpstr>Co-financing_Summary</vt:lpstr>
      <vt:lpstr>Constraints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AFrica Mini Grid Burkina Faso</dc:title>
  <dc:creator>Nadia Mrabit</dc:creator>
  <cp:lastModifiedBy>Tiabri Sylvain Thiombiano</cp:lastModifiedBy>
  <cp:lastPrinted>2022-12-16T09:54:02Z</cp:lastPrinted>
  <dcterms:created xsi:type="dcterms:W3CDTF">2017-10-17T18:56:21Z</dcterms:created>
  <dcterms:modified xsi:type="dcterms:W3CDTF">2022-12-17T17:07:09Z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0x010100155F732436BD414ABE4F9007290F88BC</vt:lpwstr>
  </property>
</Properties>
</file>